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codeName="ThisWorkbook" defaultThemeVersion="124226"/>
  <mc:AlternateContent xmlns:mc="http://schemas.openxmlformats.org/markup-compatibility/2006">
    <mc:Choice Requires="x15">
      <x15ac:absPath xmlns:x15ac="http://schemas.microsoft.com/office/spreadsheetml/2010/11/ac" url="C:\Users\Admin\Documents\Gutenberg\~FIN MODELING Training Course\6-2-2018\Templates to Include with the Program\"/>
    </mc:Choice>
  </mc:AlternateContent>
  <xr:revisionPtr revIDLastSave="0" documentId="13_ncr:1_{D42F74FA-6968-4CEE-AAB2-434541EDA343}" xr6:coauthVersionLast="40" xr6:coauthVersionMax="40" xr10:uidLastSave="{00000000-0000-0000-0000-000000000000}"/>
  <bookViews>
    <workbookView xWindow="480" yWindow="165" windowWidth="8955" windowHeight="7350" tabRatio="867" xr2:uid="{00000000-000D-0000-FFFF-FFFF00000000}"/>
  </bookViews>
  <sheets>
    <sheet name="FedEx Earnings Model" sheetId="3" r:id="rId1"/>
  </sheets>
  <definedNames>
    <definedName name="DATA">#REF!</definedName>
    <definedName name="_xlnm.Print_Area" localSheetId="0">'FedEx Earnings Model'!$B$2:$AQ$421</definedName>
  </definedNames>
  <calcPr calcId="181029"/>
</workbook>
</file>

<file path=xl/calcChain.xml><?xml version="1.0" encoding="utf-8"?>
<calcChain xmlns="http://schemas.openxmlformats.org/spreadsheetml/2006/main">
  <c r="AM298" i="3" l="1"/>
  <c r="AN298" i="3" s="1"/>
  <c r="AO298" i="3" s="1"/>
  <c r="AP298" i="3" s="1"/>
  <c r="AH298" i="3"/>
  <c r="AI298" i="3" s="1"/>
  <c r="AJ298" i="3" s="1"/>
  <c r="AK298" i="3" s="1"/>
  <c r="AD298" i="3"/>
  <c r="AE298" i="3" s="1"/>
  <c r="AF298" i="3" s="1"/>
  <c r="AC298" i="3"/>
  <c r="X298" i="3"/>
  <c r="Y298" i="3" s="1"/>
  <c r="Z298" i="3" s="1"/>
  <c r="AA298" i="3" s="1"/>
  <c r="U238" i="3"/>
  <c r="T238" i="3"/>
  <c r="S238" i="3"/>
  <c r="V237" i="3"/>
  <c r="V238" i="3" s="1"/>
  <c r="Z238" i="3"/>
  <c r="Y238" i="3"/>
  <c r="X238" i="3"/>
  <c r="AA237" i="3"/>
  <c r="AA238" i="3" s="1"/>
  <c r="AM228" i="3"/>
  <c r="AN228" i="3" s="1"/>
  <c r="AO228" i="3" s="1"/>
  <c r="AP228" i="3" s="1"/>
  <c r="AH228" i="3"/>
  <c r="AI228" i="3" s="1"/>
  <c r="AJ228" i="3" s="1"/>
  <c r="AK228" i="3" s="1"/>
  <c r="AC228" i="3"/>
  <c r="AD228" i="3" s="1"/>
  <c r="AE228" i="3" s="1"/>
  <c r="AF228" i="3" s="1"/>
  <c r="X228" i="3"/>
  <c r="Y228" i="3" s="1"/>
  <c r="Z228" i="3" s="1"/>
  <c r="AA228" i="3" s="1"/>
  <c r="AM171" i="3"/>
  <c r="AN171" i="3" s="1"/>
  <c r="AO171" i="3" s="1"/>
  <c r="AP171" i="3" s="1"/>
  <c r="AH171" i="3"/>
  <c r="AI171" i="3" s="1"/>
  <c r="AJ171" i="3" s="1"/>
  <c r="AK171" i="3" s="1"/>
  <c r="AC171" i="3"/>
  <c r="AD171" i="3" s="1"/>
  <c r="AE171" i="3" s="1"/>
  <c r="AF171" i="3" s="1"/>
  <c r="X171" i="3"/>
  <c r="Y171" i="3" s="1"/>
  <c r="Z171" i="3" s="1"/>
  <c r="AA171" i="3" s="1"/>
  <c r="AM169" i="3"/>
  <c r="AN169" i="3" s="1"/>
  <c r="AO169" i="3" s="1"/>
  <c r="AP169" i="3" s="1"/>
  <c r="AH169" i="3"/>
  <c r="AI169" i="3" s="1"/>
  <c r="AJ169" i="3" s="1"/>
  <c r="AK169" i="3" s="1"/>
  <c r="AC169" i="3"/>
  <c r="AD169" i="3" s="1"/>
  <c r="AE169" i="3" s="1"/>
  <c r="AF169" i="3" s="1"/>
  <c r="X169" i="3"/>
  <c r="Y169" i="3" s="1"/>
  <c r="Z169" i="3" s="1"/>
  <c r="AA169" i="3" s="1"/>
  <c r="AM164" i="3"/>
  <c r="AN164" i="3" s="1"/>
  <c r="AO164" i="3" s="1"/>
  <c r="AP164" i="3" s="1"/>
  <c r="AH164" i="3"/>
  <c r="AI164" i="3" s="1"/>
  <c r="AJ164" i="3" s="1"/>
  <c r="AK164" i="3" s="1"/>
  <c r="AC164" i="3"/>
  <c r="AD164" i="3" s="1"/>
  <c r="AE164" i="3" s="1"/>
  <c r="AF164" i="3" s="1"/>
  <c r="X164" i="3"/>
  <c r="Y164" i="3" s="1"/>
  <c r="Z164" i="3" s="1"/>
  <c r="AA164" i="3" s="1"/>
  <c r="AM161" i="3"/>
  <c r="AN161" i="3" s="1"/>
  <c r="AO161" i="3" s="1"/>
  <c r="AP161" i="3" s="1"/>
  <c r="AH161" i="3"/>
  <c r="AI161" i="3" s="1"/>
  <c r="AJ161" i="3" s="1"/>
  <c r="AK161" i="3" s="1"/>
  <c r="AC161" i="3"/>
  <c r="AD161" i="3" s="1"/>
  <c r="AE161" i="3" s="1"/>
  <c r="AF161" i="3" s="1"/>
  <c r="X161" i="3"/>
  <c r="Y161" i="3" s="1"/>
  <c r="Z161" i="3" s="1"/>
  <c r="AA161" i="3" s="1"/>
  <c r="AM157" i="3"/>
  <c r="AN157" i="3" s="1"/>
  <c r="AO157" i="3" s="1"/>
  <c r="AP157" i="3" s="1"/>
  <c r="AH157" i="3"/>
  <c r="AI157" i="3" s="1"/>
  <c r="AJ157" i="3" s="1"/>
  <c r="AK157" i="3" s="1"/>
  <c r="AC157" i="3"/>
  <c r="AD157" i="3" s="1"/>
  <c r="AE157" i="3" s="1"/>
  <c r="AF157" i="3" s="1"/>
  <c r="X157" i="3"/>
  <c r="Y157" i="3" s="1"/>
  <c r="Z157" i="3" s="1"/>
  <c r="AA157" i="3" s="1"/>
  <c r="AM155" i="3"/>
  <c r="AN155" i="3" s="1"/>
  <c r="AO155" i="3" s="1"/>
  <c r="AP155" i="3" s="1"/>
  <c r="AH155" i="3"/>
  <c r="AI155" i="3" s="1"/>
  <c r="AJ155" i="3" s="1"/>
  <c r="AK155" i="3" s="1"/>
  <c r="AC155" i="3"/>
  <c r="AD155" i="3" s="1"/>
  <c r="AE155" i="3" s="1"/>
  <c r="AF155" i="3" s="1"/>
  <c r="X155" i="3"/>
  <c r="Y155" i="3" s="1"/>
  <c r="Z155" i="3" s="1"/>
  <c r="AA155" i="3" s="1"/>
  <c r="AM153" i="3"/>
  <c r="AN153" i="3" s="1"/>
  <c r="AO153" i="3" s="1"/>
  <c r="AP153" i="3" s="1"/>
  <c r="AH153" i="3"/>
  <c r="AI153" i="3" s="1"/>
  <c r="AJ153" i="3" s="1"/>
  <c r="AK153" i="3" s="1"/>
  <c r="AE153" i="3"/>
  <c r="AF153" i="3" s="1"/>
  <c r="AD153" i="3"/>
  <c r="AC153" i="3"/>
  <c r="X153" i="3"/>
  <c r="Y153" i="3" s="1"/>
  <c r="Z153" i="3" s="1"/>
  <c r="AA153" i="3" s="1"/>
  <c r="AM147" i="3"/>
  <c r="AN147" i="3" s="1"/>
  <c r="AO147" i="3" s="1"/>
  <c r="AP147" i="3" s="1"/>
  <c r="AH147" i="3"/>
  <c r="AI147" i="3" s="1"/>
  <c r="AJ147" i="3" s="1"/>
  <c r="AK147" i="3" s="1"/>
  <c r="AC147" i="3"/>
  <c r="AD147" i="3" s="1"/>
  <c r="AE147" i="3" s="1"/>
  <c r="AF147" i="3" s="1"/>
  <c r="X147" i="3"/>
  <c r="Y147" i="3" s="1"/>
  <c r="Z147" i="3" s="1"/>
  <c r="AA147" i="3" s="1"/>
  <c r="AM144" i="3"/>
  <c r="AN144" i="3" s="1"/>
  <c r="AO144" i="3" s="1"/>
  <c r="AP144" i="3" s="1"/>
  <c r="AH144" i="3"/>
  <c r="AI144" i="3" s="1"/>
  <c r="AJ144" i="3" s="1"/>
  <c r="AK144" i="3" s="1"/>
  <c r="AC144" i="3"/>
  <c r="AD144" i="3" s="1"/>
  <c r="AE144" i="3" s="1"/>
  <c r="AF144" i="3" s="1"/>
  <c r="X144" i="3"/>
  <c r="Y144" i="3" s="1"/>
  <c r="Z144" i="3" s="1"/>
  <c r="AA144" i="3" s="1"/>
  <c r="AM140" i="3"/>
  <c r="AN140" i="3" s="1"/>
  <c r="AO140" i="3" s="1"/>
  <c r="AP140" i="3" s="1"/>
  <c r="AH140" i="3"/>
  <c r="AI140" i="3" s="1"/>
  <c r="AJ140" i="3" s="1"/>
  <c r="AK140" i="3" s="1"/>
  <c r="AC140" i="3"/>
  <c r="AD140" i="3" s="1"/>
  <c r="AE140" i="3" s="1"/>
  <c r="AF140" i="3" s="1"/>
  <c r="X140" i="3"/>
  <c r="Y140" i="3" s="1"/>
  <c r="Z140" i="3" s="1"/>
  <c r="AA140" i="3" s="1"/>
  <c r="AM138" i="3"/>
  <c r="AN138" i="3" s="1"/>
  <c r="AO138" i="3" s="1"/>
  <c r="AP138" i="3" s="1"/>
  <c r="AH138" i="3"/>
  <c r="AI138" i="3" s="1"/>
  <c r="AJ138" i="3" s="1"/>
  <c r="AK138" i="3" s="1"/>
  <c r="AC138" i="3"/>
  <c r="AD138" i="3" s="1"/>
  <c r="AE138" i="3" s="1"/>
  <c r="AF138" i="3" s="1"/>
  <c r="X138" i="3"/>
  <c r="Y138" i="3" s="1"/>
  <c r="Z138" i="3" s="1"/>
  <c r="AA138" i="3" s="1"/>
  <c r="AM136" i="3"/>
  <c r="AN136" i="3" s="1"/>
  <c r="AO136" i="3" s="1"/>
  <c r="AP136" i="3" s="1"/>
  <c r="AH136" i="3"/>
  <c r="AI136" i="3" s="1"/>
  <c r="AJ136" i="3" s="1"/>
  <c r="AK136" i="3" s="1"/>
  <c r="AC136" i="3"/>
  <c r="AD136" i="3" s="1"/>
  <c r="AE136" i="3" s="1"/>
  <c r="AF136" i="3" s="1"/>
  <c r="X136" i="3"/>
  <c r="Y136" i="3" s="1"/>
  <c r="Z136" i="3" s="1"/>
  <c r="AA136" i="3" s="1"/>
  <c r="AM130" i="3"/>
  <c r="AN130" i="3" s="1"/>
  <c r="AO130" i="3" s="1"/>
  <c r="AP130" i="3" s="1"/>
  <c r="AH130" i="3"/>
  <c r="AI130" i="3" s="1"/>
  <c r="AJ130" i="3" s="1"/>
  <c r="AK130" i="3" s="1"/>
  <c r="AC130" i="3"/>
  <c r="AD130" i="3" s="1"/>
  <c r="AE130" i="3" s="1"/>
  <c r="AF130" i="3" s="1"/>
  <c r="X130" i="3"/>
  <c r="Y130" i="3" s="1"/>
  <c r="Z130" i="3" s="1"/>
  <c r="AA130" i="3" s="1"/>
  <c r="AM128" i="3"/>
  <c r="AN128" i="3" s="1"/>
  <c r="AO128" i="3" s="1"/>
  <c r="AP128" i="3" s="1"/>
  <c r="AH128" i="3"/>
  <c r="AI128" i="3" s="1"/>
  <c r="AJ128" i="3" s="1"/>
  <c r="AK128" i="3" s="1"/>
  <c r="AC128" i="3"/>
  <c r="AD128" i="3" s="1"/>
  <c r="AE128" i="3" s="1"/>
  <c r="AF128" i="3" s="1"/>
  <c r="X128" i="3"/>
  <c r="Y128" i="3" s="1"/>
  <c r="Z128" i="3" s="1"/>
  <c r="AA128" i="3" s="1"/>
  <c r="AM124" i="3"/>
  <c r="AN124" i="3" s="1"/>
  <c r="AO124" i="3" s="1"/>
  <c r="AP124" i="3" s="1"/>
  <c r="AH124" i="3"/>
  <c r="AI124" i="3" s="1"/>
  <c r="AJ124" i="3" s="1"/>
  <c r="AK124" i="3" s="1"/>
  <c r="AC124" i="3"/>
  <c r="AD124" i="3" s="1"/>
  <c r="AE124" i="3" s="1"/>
  <c r="AF124" i="3" s="1"/>
  <c r="X124" i="3"/>
  <c r="Y124" i="3" s="1"/>
  <c r="Z124" i="3" s="1"/>
  <c r="AA124" i="3" s="1"/>
  <c r="AM122" i="3"/>
  <c r="AN122" i="3" s="1"/>
  <c r="AO122" i="3" s="1"/>
  <c r="AP122" i="3" s="1"/>
  <c r="AH122" i="3"/>
  <c r="AI122" i="3" s="1"/>
  <c r="AJ122" i="3" s="1"/>
  <c r="AK122" i="3" s="1"/>
  <c r="AC122" i="3"/>
  <c r="AD122" i="3" s="1"/>
  <c r="AE122" i="3" s="1"/>
  <c r="AF122" i="3" s="1"/>
  <c r="X122" i="3"/>
  <c r="Y122" i="3" s="1"/>
  <c r="Z122" i="3" s="1"/>
  <c r="AA122" i="3" s="1"/>
  <c r="AM118" i="3"/>
  <c r="AN118" i="3" s="1"/>
  <c r="AO118" i="3" s="1"/>
  <c r="AP118" i="3" s="1"/>
  <c r="AH118" i="3"/>
  <c r="AI118" i="3" s="1"/>
  <c r="AJ118" i="3" s="1"/>
  <c r="AK118" i="3" s="1"/>
  <c r="AC118" i="3"/>
  <c r="AD118" i="3" s="1"/>
  <c r="AE118" i="3" s="1"/>
  <c r="AF118" i="3" s="1"/>
  <c r="X118" i="3"/>
  <c r="Y118" i="3" s="1"/>
  <c r="Z118" i="3" s="1"/>
  <c r="AA118" i="3" s="1"/>
  <c r="AM116" i="3"/>
  <c r="AN116" i="3" s="1"/>
  <c r="AO116" i="3" s="1"/>
  <c r="AP116" i="3" s="1"/>
  <c r="AH116" i="3"/>
  <c r="AI116" i="3" s="1"/>
  <c r="AJ116" i="3" s="1"/>
  <c r="AK116" i="3" s="1"/>
  <c r="AC116" i="3"/>
  <c r="AD116" i="3" s="1"/>
  <c r="AE116" i="3" s="1"/>
  <c r="AF116" i="3" s="1"/>
  <c r="X116" i="3"/>
  <c r="Y116" i="3" s="1"/>
  <c r="Z116" i="3" s="1"/>
  <c r="AA116" i="3" s="1"/>
  <c r="AM112" i="3"/>
  <c r="AN112" i="3" s="1"/>
  <c r="AO112" i="3" s="1"/>
  <c r="AP112" i="3" s="1"/>
  <c r="AH112" i="3"/>
  <c r="AI112" i="3" s="1"/>
  <c r="AJ112" i="3" s="1"/>
  <c r="AK112" i="3" s="1"/>
  <c r="AC112" i="3"/>
  <c r="AD112" i="3" s="1"/>
  <c r="AE112" i="3" s="1"/>
  <c r="AF112" i="3" s="1"/>
  <c r="X112" i="3"/>
  <c r="Y112" i="3" s="1"/>
  <c r="Z112" i="3" s="1"/>
  <c r="AA112" i="3" s="1"/>
  <c r="AM110" i="3"/>
  <c r="AN110" i="3" s="1"/>
  <c r="AO110" i="3" s="1"/>
  <c r="AP110" i="3" s="1"/>
  <c r="AH110" i="3"/>
  <c r="AI110" i="3" s="1"/>
  <c r="AJ110" i="3" s="1"/>
  <c r="AK110" i="3" s="1"/>
  <c r="AC110" i="3"/>
  <c r="AD110" i="3" s="1"/>
  <c r="AE110" i="3" s="1"/>
  <c r="AF110" i="3" s="1"/>
  <c r="X110" i="3"/>
  <c r="Y110" i="3" s="1"/>
  <c r="Z110" i="3" s="1"/>
  <c r="AA110" i="3" s="1"/>
  <c r="AM106" i="3"/>
  <c r="AN106" i="3" s="1"/>
  <c r="AO106" i="3" s="1"/>
  <c r="AP106" i="3" s="1"/>
  <c r="AH106" i="3"/>
  <c r="AI106" i="3" s="1"/>
  <c r="AJ106" i="3" s="1"/>
  <c r="AK106" i="3" s="1"/>
  <c r="AC106" i="3"/>
  <c r="AD106" i="3" s="1"/>
  <c r="AE106" i="3" s="1"/>
  <c r="AF106" i="3" s="1"/>
  <c r="X106" i="3"/>
  <c r="Y106" i="3" s="1"/>
  <c r="Z106" i="3" s="1"/>
  <c r="AA106" i="3" s="1"/>
  <c r="AM104" i="3"/>
  <c r="AN104" i="3" s="1"/>
  <c r="AO104" i="3" s="1"/>
  <c r="AP104" i="3" s="1"/>
  <c r="AH104" i="3"/>
  <c r="AI104" i="3" s="1"/>
  <c r="AJ104" i="3" s="1"/>
  <c r="AK104" i="3" s="1"/>
  <c r="AC104" i="3"/>
  <c r="AD104" i="3" s="1"/>
  <c r="AE104" i="3" s="1"/>
  <c r="AF104" i="3" s="1"/>
  <c r="X104" i="3"/>
  <c r="Y104" i="3" s="1"/>
  <c r="Z104" i="3" s="1"/>
  <c r="AA104" i="3" s="1"/>
  <c r="AM100" i="3"/>
  <c r="AN100" i="3" s="1"/>
  <c r="AO100" i="3" s="1"/>
  <c r="AP100" i="3" s="1"/>
  <c r="AH100" i="3"/>
  <c r="AI100" i="3" s="1"/>
  <c r="AJ100" i="3" s="1"/>
  <c r="AK100" i="3" s="1"/>
  <c r="AC100" i="3"/>
  <c r="AD100" i="3" s="1"/>
  <c r="AE100" i="3" s="1"/>
  <c r="AF100" i="3" s="1"/>
  <c r="X100" i="3"/>
  <c r="Y100" i="3" s="1"/>
  <c r="Z100" i="3" s="1"/>
  <c r="AA100" i="3" s="1"/>
  <c r="AM98" i="3"/>
  <c r="AN98" i="3" s="1"/>
  <c r="AO98" i="3" s="1"/>
  <c r="AP98" i="3" s="1"/>
  <c r="AH98" i="3"/>
  <c r="AI98" i="3" s="1"/>
  <c r="AJ98" i="3" s="1"/>
  <c r="AK98" i="3" s="1"/>
  <c r="AC98" i="3"/>
  <c r="AD98" i="3" s="1"/>
  <c r="AE98" i="3" s="1"/>
  <c r="AF98" i="3" s="1"/>
  <c r="X98" i="3"/>
  <c r="Y98" i="3" s="1"/>
  <c r="Z98" i="3" s="1"/>
  <c r="AA98" i="3" s="1"/>
  <c r="AM94" i="3"/>
  <c r="AN94" i="3" s="1"/>
  <c r="AO94" i="3" s="1"/>
  <c r="AP94" i="3" s="1"/>
  <c r="AI94" i="3"/>
  <c r="AJ94" i="3" s="1"/>
  <c r="AK94" i="3" s="1"/>
  <c r="AH94" i="3"/>
  <c r="AD94" i="3"/>
  <c r="AE94" i="3" s="1"/>
  <c r="AF94" i="3" s="1"/>
  <c r="AC94" i="3"/>
  <c r="X94" i="3"/>
  <c r="Y94" i="3" s="1"/>
  <c r="Z94" i="3" s="1"/>
  <c r="AA94" i="3" s="1"/>
  <c r="AM92" i="3"/>
  <c r="AN92" i="3" s="1"/>
  <c r="AO92" i="3" s="1"/>
  <c r="AP92" i="3" s="1"/>
  <c r="AH92" i="3"/>
  <c r="AI92" i="3" s="1"/>
  <c r="AJ92" i="3" s="1"/>
  <c r="AK92" i="3" s="1"/>
  <c r="AD92" i="3"/>
  <c r="AE92" i="3" s="1"/>
  <c r="AF92" i="3" s="1"/>
  <c r="AC92" i="3"/>
  <c r="X92" i="3"/>
  <c r="Y92" i="3" s="1"/>
  <c r="Z92" i="3" s="1"/>
  <c r="AA92" i="3" s="1"/>
  <c r="AM88" i="3"/>
  <c r="AN88" i="3" s="1"/>
  <c r="AO88" i="3" s="1"/>
  <c r="AP88" i="3" s="1"/>
  <c r="AH88" i="3"/>
  <c r="AI88" i="3" s="1"/>
  <c r="AJ88" i="3" s="1"/>
  <c r="AK88" i="3" s="1"/>
  <c r="AC88" i="3"/>
  <c r="AD88" i="3" s="1"/>
  <c r="AE88" i="3" s="1"/>
  <c r="AF88" i="3" s="1"/>
  <c r="X88" i="3"/>
  <c r="Y88" i="3" s="1"/>
  <c r="Z88" i="3" s="1"/>
  <c r="AA88" i="3" s="1"/>
  <c r="AM86" i="3"/>
  <c r="AN86" i="3" s="1"/>
  <c r="AO86" i="3" s="1"/>
  <c r="AP86" i="3" s="1"/>
  <c r="AH86" i="3"/>
  <c r="AI86" i="3" s="1"/>
  <c r="AJ86" i="3" s="1"/>
  <c r="AK86" i="3" s="1"/>
  <c r="AC86" i="3"/>
  <c r="AD86" i="3" s="1"/>
  <c r="AE86" i="3" s="1"/>
  <c r="AF86" i="3" s="1"/>
  <c r="X86" i="3"/>
  <c r="Y86" i="3" s="1"/>
  <c r="Z86" i="3" s="1"/>
  <c r="AA86" i="3" s="1"/>
  <c r="AM82" i="3"/>
  <c r="AN82" i="3" s="1"/>
  <c r="AO82" i="3" s="1"/>
  <c r="AP82" i="3" s="1"/>
  <c r="AH82" i="3"/>
  <c r="AI82" i="3" s="1"/>
  <c r="AJ82" i="3" s="1"/>
  <c r="AK82" i="3" s="1"/>
  <c r="AC82" i="3"/>
  <c r="AD82" i="3" s="1"/>
  <c r="AE82" i="3" s="1"/>
  <c r="AF82" i="3" s="1"/>
  <c r="X82" i="3"/>
  <c r="Y82" i="3" s="1"/>
  <c r="Z82" i="3" s="1"/>
  <c r="AA82" i="3" s="1"/>
  <c r="AM80" i="3"/>
  <c r="AN80" i="3" s="1"/>
  <c r="AO80" i="3" s="1"/>
  <c r="AP80" i="3" s="1"/>
  <c r="AH80" i="3"/>
  <c r="AI80" i="3" s="1"/>
  <c r="AJ80" i="3" s="1"/>
  <c r="AK80" i="3" s="1"/>
  <c r="AC80" i="3"/>
  <c r="AD80" i="3" s="1"/>
  <c r="AE80" i="3" s="1"/>
  <c r="AF80" i="3" s="1"/>
  <c r="X80" i="3"/>
  <c r="Y80" i="3" s="1"/>
  <c r="Z80" i="3" s="1"/>
  <c r="AA80" i="3" s="1"/>
  <c r="AM76" i="3"/>
  <c r="AN76" i="3" s="1"/>
  <c r="AO76" i="3" s="1"/>
  <c r="AP76" i="3" s="1"/>
  <c r="AI76" i="3"/>
  <c r="AJ76" i="3" s="1"/>
  <c r="AK76" i="3" s="1"/>
  <c r="AH76" i="3"/>
  <c r="AC76" i="3"/>
  <c r="AD76" i="3" s="1"/>
  <c r="AE76" i="3" s="1"/>
  <c r="AF76" i="3" s="1"/>
  <c r="X76" i="3"/>
  <c r="Y76" i="3" s="1"/>
  <c r="Z76" i="3" s="1"/>
  <c r="AA76" i="3" s="1"/>
  <c r="AM74" i="3"/>
  <c r="AN74" i="3" s="1"/>
  <c r="AO74" i="3" s="1"/>
  <c r="AP74" i="3" s="1"/>
  <c r="AH74" i="3"/>
  <c r="AI74" i="3" s="1"/>
  <c r="AJ74" i="3" s="1"/>
  <c r="AK74" i="3" s="1"/>
  <c r="AC74" i="3"/>
  <c r="AD74" i="3" s="1"/>
  <c r="AE74" i="3" s="1"/>
  <c r="AF74" i="3" s="1"/>
  <c r="X74" i="3"/>
  <c r="Y74" i="3" s="1"/>
  <c r="Z74" i="3" s="1"/>
  <c r="AA74" i="3" s="1"/>
  <c r="AM68" i="3"/>
  <c r="AN68" i="3" s="1"/>
  <c r="AO68" i="3" s="1"/>
  <c r="AP68" i="3" s="1"/>
  <c r="AH68" i="3"/>
  <c r="AI68" i="3" s="1"/>
  <c r="AJ68" i="3" s="1"/>
  <c r="AK68" i="3" s="1"/>
  <c r="AC68" i="3"/>
  <c r="AD68" i="3" s="1"/>
  <c r="AE68" i="3" s="1"/>
  <c r="AF68" i="3" s="1"/>
  <c r="X68" i="3"/>
  <c r="Y68" i="3" s="1"/>
  <c r="Z68" i="3" s="1"/>
  <c r="AA68" i="3" s="1"/>
  <c r="AM64" i="3"/>
  <c r="AN64" i="3" s="1"/>
  <c r="AO64" i="3" s="1"/>
  <c r="AP64" i="3" s="1"/>
  <c r="AM63" i="3"/>
  <c r="AM62" i="3"/>
  <c r="AN62" i="3" s="1"/>
  <c r="AO62" i="3" s="1"/>
  <c r="AP62" i="3" s="1"/>
  <c r="AM61" i="3"/>
  <c r="AN61" i="3" s="1"/>
  <c r="AH64" i="3"/>
  <c r="AI64" i="3" s="1"/>
  <c r="AJ64" i="3" s="1"/>
  <c r="AK64" i="3" s="1"/>
  <c r="AH62" i="3"/>
  <c r="AH63" i="3" s="1"/>
  <c r="AH61" i="3"/>
  <c r="AI61" i="3" s="1"/>
  <c r="AC64" i="3"/>
  <c r="AD64" i="3" s="1"/>
  <c r="AE64" i="3" s="1"/>
  <c r="AF64" i="3" s="1"/>
  <c r="AC62" i="3"/>
  <c r="AD62" i="3" s="1"/>
  <c r="AE62" i="3" s="1"/>
  <c r="AF62" i="3" s="1"/>
  <c r="AC61" i="3"/>
  <c r="AC63" i="3" s="1"/>
  <c r="X64" i="3"/>
  <c r="Y64" i="3" s="1"/>
  <c r="Z64" i="3" s="1"/>
  <c r="AA64" i="3" s="1"/>
  <c r="X62" i="3"/>
  <c r="Y62" i="3" s="1"/>
  <c r="Z62" i="3" s="1"/>
  <c r="AA62" i="3" s="1"/>
  <c r="X61" i="3"/>
  <c r="Y61" i="3" s="1"/>
  <c r="AM58" i="3"/>
  <c r="AN58" i="3" s="1"/>
  <c r="AO58" i="3" s="1"/>
  <c r="AP58" i="3" s="1"/>
  <c r="AH58" i="3"/>
  <c r="AI58" i="3" s="1"/>
  <c r="AJ58" i="3" s="1"/>
  <c r="AK58" i="3" s="1"/>
  <c r="AC58" i="3"/>
  <c r="AD58" i="3" s="1"/>
  <c r="AE58" i="3" s="1"/>
  <c r="AF58" i="3" s="1"/>
  <c r="X58" i="3"/>
  <c r="Y58" i="3" s="1"/>
  <c r="Z58" i="3" s="1"/>
  <c r="AA58" i="3" s="1"/>
  <c r="S173" i="3"/>
  <c r="T173" i="3" s="1"/>
  <c r="U173" i="3" s="1"/>
  <c r="V173" i="3" s="1"/>
  <c r="S164" i="3"/>
  <c r="T164" i="3" s="1"/>
  <c r="U164" i="3" s="1"/>
  <c r="V164" i="3" s="1"/>
  <c r="S161" i="3"/>
  <c r="T161" i="3" s="1"/>
  <c r="U161" i="3" s="1"/>
  <c r="V161" i="3" s="1"/>
  <c r="S147" i="3"/>
  <c r="T147" i="3" s="1"/>
  <c r="U147" i="3" s="1"/>
  <c r="V147" i="3" s="1"/>
  <c r="S144" i="3"/>
  <c r="T144" i="3" s="1"/>
  <c r="U144" i="3" s="1"/>
  <c r="V144" i="3" s="1"/>
  <c r="S68" i="3"/>
  <c r="T68" i="3" s="1"/>
  <c r="U68" i="3" s="1"/>
  <c r="V68" i="3" s="1"/>
  <c r="S64" i="3"/>
  <c r="T64" i="3" s="1"/>
  <c r="U64" i="3" s="1"/>
  <c r="V64" i="3" s="1"/>
  <c r="S62" i="3"/>
  <c r="T62" i="3" s="1"/>
  <c r="U62" i="3" s="1"/>
  <c r="V62" i="3" s="1"/>
  <c r="S61" i="3"/>
  <c r="T61" i="3" s="1"/>
  <c r="U61" i="3" s="1"/>
  <c r="V61" i="3" s="1"/>
  <c r="S130" i="3"/>
  <c r="T130" i="3" s="1"/>
  <c r="U130" i="3" s="1"/>
  <c r="V130" i="3" s="1"/>
  <c r="S128" i="3"/>
  <c r="T128" i="3" s="1"/>
  <c r="U128" i="3" s="1"/>
  <c r="V128" i="3" s="1"/>
  <c r="S138" i="3"/>
  <c r="T138" i="3" s="1"/>
  <c r="U138" i="3" s="1"/>
  <c r="V138" i="3" s="1"/>
  <c r="S136" i="3"/>
  <c r="T136" i="3" s="1"/>
  <c r="U136" i="3" s="1"/>
  <c r="V136" i="3" s="1"/>
  <c r="S124" i="3"/>
  <c r="T124" i="3" s="1"/>
  <c r="U124" i="3" s="1"/>
  <c r="V124" i="3" s="1"/>
  <c r="S122" i="3"/>
  <c r="T122" i="3" s="1"/>
  <c r="U122" i="3" s="1"/>
  <c r="V122" i="3" s="1"/>
  <c r="S118" i="3"/>
  <c r="T118" i="3" s="1"/>
  <c r="U118" i="3" s="1"/>
  <c r="V118" i="3" s="1"/>
  <c r="S116" i="3"/>
  <c r="T116" i="3" s="1"/>
  <c r="U116" i="3" s="1"/>
  <c r="V116" i="3" s="1"/>
  <c r="S112" i="3"/>
  <c r="T112" i="3" s="1"/>
  <c r="U112" i="3" s="1"/>
  <c r="V112" i="3" s="1"/>
  <c r="S110" i="3"/>
  <c r="T110" i="3" s="1"/>
  <c r="U110" i="3" s="1"/>
  <c r="V110" i="3" s="1"/>
  <c r="S106" i="3"/>
  <c r="T106" i="3" s="1"/>
  <c r="U106" i="3" s="1"/>
  <c r="V106" i="3" s="1"/>
  <c r="S104" i="3"/>
  <c r="T104" i="3" s="1"/>
  <c r="U104" i="3" s="1"/>
  <c r="V104" i="3" s="1"/>
  <c r="S100" i="3"/>
  <c r="T100" i="3" s="1"/>
  <c r="U100" i="3" s="1"/>
  <c r="V100" i="3" s="1"/>
  <c r="S98" i="3"/>
  <c r="T98" i="3" s="1"/>
  <c r="U98" i="3" s="1"/>
  <c r="V98" i="3" s="1"/>
  <c r="S94" i="3"/>
  <c r="T94" i="3" s="1"/>
  <c r="U94" i="3" s="1"/>
  <c r="V94" i="3" s="1"/>
  <c r="S92" i="3"/>
  <c r="T92" i="3" s="1"/>
  <c r="U92" i="3" s="1"/>
  <c r="V92" i="3" s="1"/>
  <c r="S88" i="3"/>
  <c r="T88" i="3" s="1"/>
  <c r="U88" i="3" s="1"/>
  <c r="V88" i="3" s="1"/>
  <c r="S86" i="3"/>
  <c r="T86" i="3" s="1"/>
  <c r="U86" i="3" s="1"/>
  <c r="V86" i="3" s="1"/>
  <c r="S82" i="3"/>
  <c r="T82" i="3" s="1"/>
  <c r="U82" i="3" s="1"/>
  <c r="V82" i="3" s="1"/>
  <c r="S80" i="3"/>
  <c r="T80" i="3" s="1"/>
  <c r="U80" i="3" s="1"/>
  <c r="V80" i="3" s="1"/>
  <c r="S76" i="3"/>
  <c r="T76" i="3" s="1"/>
  <c r="U76" i="3" s="1"/>
  <c r="V76" i="3" s="1"/>
  <c r="AO61" i="3" l="1"/>
  <c r="AN63" i="3"/>
  <c r="AJ61" i="3"/>
  <c r="AI62" i="3"/>
  <c r="AJ62" i="3" s="1"/>
  <c r="AK62" i="3" s="1"/>
  <c r="AD61" i="3"/>
  <c r="Z61" i="3"/>
  <c r="Y63" i="3"/>
  <c r="X63" i="3"/>
  <c r="AP61" i="3" l="1"/>
  <c r="AP63" i="3" s="1"/>
  <c r="AO63" i="3"/>
  <c r="AI63" i="3"/>
  <c r="AK61" i="3"/>
  <c r="AK63" i="3" s="1"/>
  <c r="AJ63" i="3"/>
  <c r="AE61" i="3"/>
  <c r="AD63" i="3"/>
  <c r="AA61" i="3"/>
  <c r="AA63" i="3" s="1"/>
  <c r="Z63" i="3"/>
  <c r="AF61" i="3" l="1"/>
  <c r="AF63" i="3" s="1"/>
  <c r="AE63" i="3"/>
  <c r="S228" i="3" l="1"/>
  <c r="T228" i="3" s="1"/>
  <c r="U228" i="3" s="1"/>
  <c r="V228" i="3" s="1"/>
  <c r="S264" i="3" l="1"/>
  <c r="T264" i="3" s="1"/>
  <c r="U264" i="3" s="1"/>
  <c r="V264" i="3" s="1"/>
  <c r="X264" i="3" s="1"/>
  <c r="Y264" i="3" s="1"/>
  <c r="Z264" i="3" s="1"/>
  <c r="AA264" i="3" s="1"/>
  <c r="AC264" i="3" s="1"/>
  <c r="AD264" i="3" s="1"/>
  <c r="AE264" i="3" s="1"/>
  <c r="AF264" i="3" s="1"/>
  <c r="AH264" i="3" s="1"/>
  <c r="AI264" i="3" s="1"/>
  <c r="AJ264" i="3" s="1"/>
  <c r="AK264" i="3" s="1"/>
  <c r="AM264" i="3" s="1"/>
  <c r="AN264" i="3" s="1"/>
  <c r="AO264" i="3" s="1"/>
  <c r="AP264" i="3" s="1"/>
  <c r="Q292" i="3"/>
  <c r="V292" i="3" s="1"/>
  <c r="AA292" i="3" s="1"/>
  <c r="AF292" i="3" s="1"/>
  <c r="AK292" i="3" s="1"/>
  <c r="AP292" i="3" s="1"/>
  <c r="P292" i="3"/>
  <c r="U292" i="3" s="1"/>
  <c r="Z292" i="3" s="1"/>
  <c r="AE292" i="3" s="1"/>
  <c r="AJ292" i="3" s="1"/>
  <c r="AO292" i="3" s="1"/>
  <c r="O292" i="3"/>
  <c r="T292" i="3" s="1"/>
  <c r="Y292" i="3" s="1"/>
  <c r="AD292" i="3" s="1"/>
  <c r="AI292" i="3" s="1"/>
  <c r="AN292" i="3" s="1"/>
  <c r="N292" i="3"/>
  <c r="S292" i="3" s="1"/>
  <c r="X292" i="3" s="1"/>
  <c r="AC292" i="3" s="1"/>
  <c r="AH292" i="3" s="1"/>
  <c r="AM292" i="3" s="1"/>
  <c r="I292" i="3"/>
  <c r="J292" i="3"/>
  <c r="K292" i="3"/>
  <c r="L292" i="3"/>
  <c r="F292" i="3"/>
  <c r="G292" i="3"/>
  <c r="E292" i="3"/>
  <c r="S254" i="3"/>
  <c r="T254" i="3" s="1"/>
  <c r="U254" i="3" s="1"/>
  <c r="V254" i="3" s="1"/>
  <c r="X254" i="3" s="1"/>
  <c r="Y254" i="3" s="1"/>
  <c r="Z254" i="3" s="1"/>
  <c r="AA254" i="3" s="1"/>
  <c r="AC254" i="3" s="1"/>
  <c r="AD254" i="3" s="1"/>
  <c r="AE254" i="3" s="1"/>
  <c r="AF254" i="3" s="1"/>
  <c r="AH254" i="3" s="1"/>
  <c r="AI254" i="3" s="1"/>
  <c r="AJ254" i="3" s="1"/>
  <c r="AK254" i="3" s="1"/>
  <c r="AM254" i="3" s="1"/>
  <c r="AN254" i="3" s="1"/>
  <c r="AO254" i="3" s="1"/>
  <c r="AP254" i="3" s="1"/>
  <c r="S253" i="3"/>
  <c r="T253" i="3" s="1"/>
  <c r="U253" i="3" s="1"/>
  <c r="V253" i="3" s="1"/>
  <c r="X253" i="3" s="1"/>
  <c r="Y253" i="3" s="1"/>
  <c r="Z253" i="3" s="1"/>
  <c r="AA253" i="3" s="1"/>
  <c r="AC253" i="3" s="1"/>
  <c r="AD253" i="3" s="1"/>
  <c r="AE253" i="3" s="1"/>
  <c r="AF253" i="3" s="1"/>
  <c r="AH253" i="3" s="1"/>
  <c r="AI253" i="3" s="1"/>
  <c r="AJ253" i="3" s="1"/>
  <c r="AK253" i="3" s="1"/>
  <c r="AM253" i="3" s="1"/>
  <c r="AN253" i="3" s="1"/>
  <c r="AO253" i="3" s="1"/>
  <c r="AP253" i="3" s="1"/>
  <c r="AC177" i="3" l="1"/>
  <c r="W228" i="3"/>
  <c r="Q173" i="3" l="1"/>
  <c r="E76" i="3" l="1"/>
  <c r="AA204" i="3" l="1"/>
  <c r="AQ204" i="3"/>
  <c r="AL204" i="3"/>
  <c r="AL213" i="3"/>
  <c r="AQ213" i="3" s="1"/>
  <c r="AG204" i="3"/>
  <c r="AB204" i="3"/>
  <c r="V203" i="3"/>
  <c r="W203" i="3" s="1"/>
  <c r="W212" i="3"/>
  <c r="V201" i="3" s="1"/>
  <c r="T227" i="3" l="1"/>
  <c r="U227" i="3" s="1"/>
  <c r="V227" i="3" s="1"/>
  <c r="X227" i="3" s="1"/>
  <c r="Y227" i="3" s="1"/>
  <c r="Z227" i="3" s="1"/>
  <c r="AA227" i="3" s="1"/>
  <c r="AC227" i="3" s="1"/>
  <c r="AD227" i="3" s="1"/>
  <c r="AE227" i="3" s="1"/>
  <c r="AF227" i="3" s="1"/>
  <c r="AH227" i="3" s="1"/>
  <c r="AI227" i="3" s="1"/>
  <c r="AJ227" i="3" s="1"/>
  <c r="AK227" i="3" s="1"/>
  <c r="AM227" i="3" s="1"/>
  <c r="AN227" i="3" s="1"/>
  <c r="AO227" i="3" s="1"/>
  <c r="AP227" i="3" s="1"/>
  <c r="D296" i="3" l="1"/>
  <c r="H199" i="3"/>
  <c r="G205" i="3"/>
  <c r="AO26" i="3"/>
  <c r="AN26" i="3"/>
  <c r="AM26" i="3"/>
  <c r="AQ21" i="3"/>
  <c r="AJ26" i="3"/>
  <c r="AI26" i="3"/>
  <c r="AH26" i="3"/>
  <c r="AL21" i="3"/>
  <c r="AE26" i="3"/>
  <c r="AD26" i="3"/>
  <c r="AC26" i="3"/>
  <c r="AG21" i="3"/>
  <c r="Z26" i="3"/>
  <c r="Y26" i="3"/>
  <c r="X26" i="3"/>
  <c r="AB21" i="3"/>
  <c r="AQ239" i="3"/>
  <c r="AQ235" i="3"/>
  <c r="AQ233" i="3"/>
  <c r="AQ231" i="3"/>
  <c r="AL239" i="3"/>
  <c r="AL235" i="3"/>
  <c r="AL233" i="3"/>
  <c r="AL231" i="3"/>
  <c r="AG239" i="3"/>
  <c r="AG235" i="3"/>
  <c r="AG233" i="3"/>
  <c r="AG231" i="3"/>
  <c r="AB239" i="3"/>
  <c r="AB235" i="3"/>
  <c r="AB233" i="3"/>
  <c r="AB231" i="3"/>
  <c r="W239" i="3"/>
  <c r="W233" i="3"/>
  <c r="W231" i="3"/>
  <c r="V45" i="3"/>
  <c r="AA45" i="3" s="1"/>
  <c r="AF45" i="3" s="1"/>
  <c r="AK45" i="3" s="1"/>
  <c r="AP45" i="3" s="1"/>
  <c r="U45" i="3"/>
  <c r="Z45" i="3" s="1"/>
  <c r="AE45" i="3" s="1"/>
  <c r="AJ45" i="3" s="1"/>
  <c r="AO45" i="3" s="1"/>
  <c r="T45" i="3"/>
  <c r="Y45" i="3" s="1"/>
  <c r="AD45" i="3" s="1"/>
  <c r="AI45" i="3" s="1"/>
  <c r="AN45" i="3" s="1"/>
  <c r="S45" i="3"/>
  <c r="X45" i="3" s="1"/>
  <c r="S32" i="3"/>
  <c r="T32" i="3" s="1"/>
  <c r="U32" i="3" s="1"/>
  <c r="V32" i="3" s="1"/>
  <c r="X32" i="3" s="1"/>
  <c r="Y32" i="3" s="1"/>
  <c r="Z32" i="3" s="1"/>
  <c r="AA32" i="3" s="1"/>
  <c r="AC32" i="3" s="1"/>
  <c r="AD32" i="3" s="1"/>
  <c r="AE32" i="3" s="1"/>
  <c r="AF32" i="3" s="1"/>
  <c r="AH32" i="3" s="1"/>
  <c r="AI32" i="3" s="1"/>
  <c r="AJ32" i="3" s="1"/>
  <c r="AK32" i="3" s="1"/>
  <c r="AM32" i="3" s="1"/>
  <c r="AN32" i="3" s="1"/>
  <c r="AO32" i="3" s="1"/>
  <c r="AP32" i="3" s="1"/>
  <c r="R31" i="3"/>
  <c r="X221" i="3"/>
  <c r="AQ336" i="3"/>
  <c r="AQ334" i="3"/>
  <c r="AQ333" i="3"/>
  <c r="AQ330" i="3"/>
  <c r="AQ323" i="3"/>
  <c r="AQ313" i="3"/>
  <c r="AL336" i="3"/>
  <c r="AL334" i="3"/>
  <c r="AL333" i="3"/>
  <c r="AL330" i="3"/>
  <c r="AL323" i="3"/>
  <c r="AL313" i="3"/>
  <c r="AG336" i="3"/>
  <c r="AG334" i="3"/>
  <c r="AG333" i="3"/>
  <c r="AG330" i="3"/>
  <c r="AG323" i="3"/>
  <c r="AG313" i="3"/>
  <c r="AB336" i="3"/>
  <c r="AB334" i="3"/>
  <c r="AB333" i="3"/>
  <c r="AB330" i="3"/>
  <c r="AB323" i="3"/>
  <c r="AB313" i="3"/>
  <c r="AQ247" i="3"/>
  <c r="AL247" i="3"/>
  <c r="AG247" i="3"/>
  <c r="AB247" i="3"/>
  <c r="S248" i="3"/>
  <c r="R188" i="3"/>
  <c r="R265" i="3"/>
  <c r="R282" i="3"/>
  <c r="S278" i="3"/>
  <c r="T278" i="3" s="1"/>
  <c r="U278" i="3" s="1"/>
  <c r="V278" i="3" s="1"/>
  <c r="S274" i="3"/>
  <c r="T274" i="3" s="1"/>
  <c r="U274" i="3" s="1"/>
  <c r="V274" i="3" s="1"/>
  <c r="X274" i="3" s="1"/>
  <c r="Y274" i="3" s="1"/>
  <c r="Z274" i="3" s="1"/>
  <c r="AA274" i="3" s="1"/>
  <c r="W232" i="3" l="1"/>
  <c r="AB274" i="3"/>
  <c r="AC274" i="3"/>
  <c r="AD274" i="3" s="1"/>
  <c r="AE274" i="3" s="1"/>
  <c r="AF274" i="3" s="1"/>
  <c r="Y221" i="3"/>
  <c r="AB45" i="3"/>
  <c r="AC45" i="3"/>
  <c r="T248" i="3"/>
  <c r="AB311" i="3"/>
  <c r="AQ311" i="3"/>
  <c r="W234" i="3"/>
  <c r="AL311" i="3"/>
  <c r="AQ32" i="3"/>
  <c r="AL32" i="3"/>
  <c r="AG32" i="3"/>
  <c r="AG311" i="3"/>
  <c r="AB32" i="3"/>
  <c r="S268" i="3"/>
  <c r="T268" i="3" s="1"/>
  <c r="U268" i="3" s="1"/>
  <c r="V268" i="3" s="1"/>
  <c r="X268" i="3" s="1"/>
  <c r="Y268" i="3" s="1"/>
  <c r="Z268" i="3" s="1"/>
  <c r="AA268" i="3" s="1"/>
  <c r="S267" i="3"/>
  <c r="S269" i="3"/>
  <c r="D352" i="3"/>
  <c r="I351" i="3"/>
  <c r="N351" i="3"/>
  <c r="D351" i="3"/>
  <c r="Q300" i="3"/>
  <c r="Q299" i="3"/>
  <c r="Q293" i="3"/>
  <c r="V293" i="3" s="1"/>
  <c r="Q291" i="3"/>
  <c r="Q294" i="3" l="1"/>
  <c r="AA293" i="3"/>
  <c r="X38" i="3"/>
  <c r="AG45" i="3"/>
  <c r="AG46" i="3" s="1"/>
  <c r="AH45" i="3"/>
  <c r="AG274" i="3"/>
  <c r="AH274" i="3"/>
  <c r="AI274" i="3" s="1"/>
  <c r="AJ274" i="3" s="1"/>
  <c r="AK274" i="3" s="1"/>
  <c r="AB268" i="3"/>
  <c r="AC268" i="3"/>
  <c r="AD268" i="3" s="1"/>
  <c r="AE268" i="3" s="1"/>
  <c r="AF268" i="3" s="1"/>
  <c r="Z221" i="3"/>
  <c r="T267" i="3"/>
  <c r="U267" i="3" s="1"/>
  <c r="V267" i="3" s="1"/>
  <c r="X267" i="3" s="1"/>
  <c r="Y267" i="3" s="1"/>
  <c r="Z267" i="3" s="1"/>
  <c r="AA267" i="3" s="1"/>
  <c r="I89" i="3"/>
  <c r="AA294" i="3" l="1"/>
  <c r="AF293" i="3"/>
  <c r="Y38" i="3"/>
  <c r="AA221" i="3"/>
  <c r="AC221" i="3" s="1"/>
  <c r="AL274" i="3"/>
  <c r="AM274" i="3"/>
  <c r="AN274" i="3" s="1"/>
  <c r="AO274" i="3" s="1"/>
  <c r="AP274" i="3" s="1"/>
  <c r="AQ274" i="3" s="1"/>
  <c r="AB267" i="3"/>
  <c r="AC267" i="3"/>
  <c r="AD267" i="3" s="1"/>
  <c r="AE267" i="3" s="1"/>
  <c r="AF267" i="3" s="1"/>
  <c r="AG268" i="3"/>
  <c r="AH268" i="3"/>
  <c r="AI268" i="3" s="1"/>
  <c r="AJ268" i="3" s="1"/>
  <c r="AK268" i="3" s="1"/>
  <c r="AL45" i="3"/>
  <c r="AL46" i="3" s="1"/>
  <c r="AM45" i="3"/>
  <c r="AQ45" i="3" s="1"/>
  <c r="D26" i="3"/>
  <c r="E26" i="3"/>
  <c r="F26" i="3"/>
  <c r="G26" i="3"/>
  <c r="H26" i="3"/>
  <c r="D38" i="3"/>
  <c r="E38" i="3"/>
  <c r="F38" i="3"/>
  <c r="G38" i="3"/>
  <c r="H38" i="3"/>
  <c r="L236" i="3"/>
  <c r="L235" i="3"/>
  <c r="L26" i="3" s="1"/>
  <c r="R38" i="3"/>
  <c r="S38" i="3"/>
  <c r="T38" i="3"/>
  <c r="I38" i="3"/>
  <c r="J38" i="3"/>
  <c r="K38" i="3"/>
  <c r="L38" i="3"/>
  <c r="N38" i="3"/>
  <c r="O38" i="3"/>
  <c r="P38" i="3"/>
  <c r="S26" i="3"/>
  <c r="T26" i="3"/>
  <c r="U26" i="3"/>
  <c r="I26" i="3"/>
  <c r="J26" i="3"/>
  <c r="K26" i="3"/>
  <c r="N26" i="3"/>
  <c r="O26" i="3"/>
  <c r="P26" i="3"/>
  <c r="R26" i="3"/>
  <c r="Q38" i="3"/>
  <c r="Q26" i="3"/>
  <c r="M236" i="3"/>
  <c r="M38" i="3" s="1"/>
  <c r="M235" i="3"/>
  <c r="M26" i="3" s="1"/>
  <c r="E345" i="3"/>
  <c r="F345" i="3"/>
  <c r="G345" i="3"/>
  <c r="I345" i="3"/>
  <c r="J345" i="3"/>
  <c r="K345" i="3"/>
  <c r="L345" i="3"/>
  <c r="N345" i="3"/>
  <c r="O345" i="3"/>
  <c r="P345" i="3"/>
  <c r="Q345" i="3"/>
  <c r="D345" i="3"/>
  <c r="N228" i="3"/>
  <c r="P228" i="3"/>
  <c r="H228" i="3"/>
  <c r="G228" i="3" s="1"/>
  <c r="M228" i="3"/>
  <c r="E33" i="3"/>
  <c r="F33" i="3"/>
  <c r="G33" i="3"/>
  <c r="I33" i="3"/>
  <c r="J33" i="3"/>
  <c r="K33" i="3"/>
  <c r="L33" i="3"/>
  <c r="N33" i="3"/>
  <c r="O33" i="3"/>
  <c r="P33" i="3"/>
  <c r="Q33" i="3"/>
  <c r="D33" i="3"/>
  <c r="M31" i="3"/>
  <c r="H31" i="3"/>
  <c r="R199" i="3"/>
  <c r="R196" i="3"/>
  <c r="R198" i="3"/>
  <c r="Q197" i="3"/>
  <c r="R197" i="3" s="1"/>
  <c r="R191" i="3"/>
  <c r="R202" i="3"/>
  <c r="P132" i="3"/>
  <c r="O132" i="3"/>
  <c r="AF294" i="3" l="1"/>
  <c r="AK293" i="3"/>
  <c r="AQ46" i="3"/>
  <c r="W236" i="3"/>
  <c r="U38" i="3"/>
  <c r="W235" i="3"/>
  <c r="AB236" i="3"/>
  <c r="AB234" i="3"/>
  <c r="AB232" i="3"/>
  <c r="AG267" i="3"/>
  <c r="AH267" i="3"/>
  <c r="AI267" i="3" s="1"/>
  <c r="AJ267" i="3" s="1"/>
  <c r="AK267" i="3" s="1"/>
  <c r="Z38" i="3"/>
  <c r="AL268" i="3"/>
  <c r="AM268" i="3"/>
  <c r="AN268" i="3" s="1"/>
  <c r="AO268" i="3" s="1"/>
  <c r="AP268" i="3" s="1"/>
  <c r="AQ268" i="3" s="1"/>
  <c r="R192" i="3"/>
  <c r="W191" i="3"/>
  <c r="G58" i="3"/>
  <c r="F58" i="3"/>
  <c r="E58" i="3"/>
  <c r="D58" i="3"/>
  <c r="G169" i="3"/>
  <c r="F169" i="3"/>
  <c r="E169" i="3"/>
  <c r="D169" i="3"/>
  <c r="G155" i="3"/>
  <c r="F155" i="3"/>
  <c r="E155" i="3"/>
  <c r="D155" i="3"/>
  <c r="G153" i="3"/>
  <c r="F153" i="3"/>
  <c r="E153" i="3"/>
  <c r="D153" i="3"/>
  <c r="G138" i="3"/>
  <c r="F138" i="3"/>
  <c r="E138" i="3"/>
  <c r="D138" i="3"/>
  <c r="G136" i="3"/>
  <c r="F136" i="3"/>
  <c r="E136" i="3"/>
  <c r="D136" i="3"/>
  <c r="G130" i="3"/>
  <c r="F130" i="3"/>
  <c r="E130" i="3"/>
  <c r="D130" i="3"/>
  <c r="G128" i="3"/>
  <c r="F128" i="3"/>
  <c r="E128" i="3"/>
  <c r="D128" i="3"/>
  <c r="G124" i="3"/>
  <c r="F124" i="3"/>
  <c r="E124" i="3"/>
  <c r="D124" i="3"/>
  <c r="G122" i="3"/>
  <c r="F122" i="3"/>
  <c r="E122" i="3"/>
  <c r="D122" i="3"/>
  <c r="G118" i="3"/>
  <c r="F118" i="3"/>
  <c r="E118" i="3"/>
  <c r="D118" i="3"/>
  <c r="G116" i="3"/>
  <c r="F116" i="3"/>
  <c r="E116" i="3"/>
  <c r="D116" i="3"/>
  <c r="G112" i="3"/>
  <c r="F112" i="3"/>
  <c r="E112" i="3"/>
  <c r="D112" i="3"/>
  <c r="G110" i="3"/>
  <c r="F110" i="3"/>
  <c r="E110" i="3"/>
  <c r="D110" i="3"/>
  <c r="AK294" i="3" l="1"/>
  <c r="AP293" i="3"/>
  <c r="AP294" i="3" s="1"/>
  <c r="W192" i="3"/>
  <c r="W279" i="3" s="1"/>
  <c r="AL267" i="3"/>
  <c r="AM267" i="3"/>
  <c r="AN267" i="3" s="1"/>
  <c r="AO267" i="3" s="1"/>
  <c r="AP267" i="3" s="1"/>
  <c r="AQ267" i="3" s="1"/>
  <c r="AD221" i="3"/>
  <c r="AC234" i="3"/>
  <c r="AC232" i="3"/>
  <c r="AC238" i="3"/>
  <c r="AC236" i="3"/>
  <c r="G106" i="3"/>
  <c r="F106" i="3"/>
  <c r="E106" i="3"/>
  <c r="D106" i="3"/>
  <c r="G104" i="3"/>
  <c r="F104" i="3"/>
  <c r="E104" i="3"/>
  <c r="D104" i="3"/>
  <c r="G100" i="3"/>
  <c r="F100" i="3"/>
  <c r="E100" i="3"/>
  <c r="D100" i="3"/>
  <c r="G98" i="3"/>
  <c r="F98" i="3"/>
  <c r="E98" i="3"/>
  <c r="D98" i="3"/>
  <c r="G94" i="3"/>
  <c r="F94" i="3"/>
  <c r="E94" i="3"/>
  <c r="D94" i="3"/>
  <c r="G92" i="3"/>
  <c r="F92" i="3"/>
  <c r="E92" i="3"/>
  <c r="D92" i="3"/>
  <c r="G88" i="3"/>
  <c r="F88" i="3"/>
  <c r="E88" i="3"/>
  <c r="D88" i="3"/>
  <c r="G86" i="3"/>
  <c r="F86" i="3"/>
  <c r="E86" i="3"/>
  <c r="D86" i="3"/>
  <c r="G82" i="3"/>
  <c r="F82" i="3"/>
  <c r="E82" i="3"/>
  <c r="D82" i="3"/>
  <c r="G80" i="3"/>
  <c r="F80" i="3"/>
  <c r="E80" i="3"/>
  <c r="D80" i="3"/>
  <c r="G74" i="3"/>
  <c r="F74" i="3"/>
  <c r="E74" i="3"/>
  <c r="D74" i="3"/>
  <c r="G76" i="3"/>
  <c r="F76" i="3"/>
  <c r="D76" i="3"/>
  <c r="G46" i="3"/>
  <c r="F46" i="3"/>
  <c r="E46" i="3"/>
  <c r="D46" i="3"/>
  <c r="AE221" i="3" l="1"/>
  <c r="AF221" i="3" s="1"/>
  <c r="AH221" i="3" s="1"/>
  <c r="AI221" i="3" s="1"/>
  <c r="AJ221" i="3" s="1"/>
  <c r="AK221" i="3" s="1"/>
  <c r="AM221" i="3" s="1"/>
  <c r="AN221" i="3" s="1"/>
  <c r="AO221" i="3" s="1"/>
  <c r="AP221" i="3" s="1"/>
  <c r="AD232" i="3"/>
  <c r="AD238" i="3"/>
  <c r="AD236" i="3"/>
  <c r="AD234" i="3"/>
  <c r="AC38" i="3"/>
  <c r="H281" i="3"/>
  <c r="W247" i="3"/>
  <c r="W267" i="3"/>
  <c r="W268" i="3"/>
  <c r="R253" i="3"/>
  <c r="P283" i="3"/>
  <c r="W336" i="3"/>
  <c r="W333" i="3"/>
  <c r="W330" i="3"/>
  <c r="W323" i="3"/>
  <c r="W313" i="3"/>
  <c r="W311" i="3"/>
  <c r="Q333" i="3"/>
  <c r="R333" i="3" s="1"/>
  <c r="Q176" i="3"/>
  <c r="Q175" i="3"/>
  <c r="Q46" i="3"/>
  <c r="L46" i="3"/>
  <c r="D205" i="3"/>
  <c r="H201" i="3"/>
  <c r="AD38" i="3" l="1"/>
  <c r="AE238" i="3"/>
  <c r="AE236" i="3"/>
  <c r="AE234" i="3"/>
  <c r="AE232" i="3"/>
  <c r="D173" i="3"/>
  <c r="D176" i="3"/>
  <c r="D175" i="3"/>
  <c r="AE38" i="3" l="1"/>
  <c r="AF236" i="3"/>
  <c r="AG236" i="3" s="1"/>
  <c r="AF234" i="3"/>
  <c r="AG234" i="3" s="1"/>
  <c r="AF232" i="3"/>
  <c r="AG232" i="3" s="1"/>
  <c r="Q169" i="3"/>
  <c r="Q152" i="3"/>
  <c r="I152" i="3"/>
  <c r="I159" i="3" s="1"/>
  <c r="G159" i="3"/>
  <c r="F159" i="3"/>
  <c r="E159" i="3"/>
  <c r="E151" i="3" s="1"/>
  <c r="D159" i="3"/>
  <c r="Q142" i="3"/>
  <c r="P142" i="3"/>
  <c r="O142" i="3"/>
  <c r="N142" i="3"/>
  <c r="L142" i="3"/>
  <c r="K142" i="3"/>
  <c r="J142" i="3"/>
  <c r="I142" i="3"/>
  <c r="G142" i="3"/>
  <c r="F142" i="3"/>
  <c r="E142" i="3"/>
  <c r="D142" i="3"/>
  <c r="D148" i="3" s="1"/>
  <c r="D149" i="3" s="1"/>
  <c r="Q132" i="3"/>
  <c r="N132" i="3"/>
  <c r="L132" i="3"/>
  <c r="K132" i="3"/>
  <c r="J132" i="3"/>
  <c r="I132" i="3"/>
  <c r="G132" i="3"/>
  <c r="F132" i="3"/>
  <c r="E132" i="3"/>
  <c r="D132" i="3"/>
  <c r="Q125" i="3"/>
  <c r="P125" i="3"/>
  <c r="O125" i="3"/>
  <c r="N125" i="3"/>
  <c r="L125" i="3"/>
  <c r="K125" i="3"/>
  <c r="J125" i="3"/>
  <c r="I125" i="3"/>
  <c r="G125" i="3"/>
  <c r="F125" i="3"/>
  <c r="E125" i="3"/>
  <c r="D125" i="3"/>
  <c r="Q119" i="3"/>
  <c r="P119" i="3"/>
  <c r="O119" i="3"/>
  <c r="N119" i="3"/>
  <c r="L119" i="3"/>
  <c r="K119" i="3"/>
  <c r="J119" i="3"/>
  <c r="I119" i="3"/>
  <c r="G119" i="3"/>
  <c r="F119" i="3"/>
  <c r="E119" i="3"/>
  <c r="D119" i="3"/>
  <c r="Q113" i="3"/>
  <c r="P113" i="3"/>
  <c r="O113" i="3"/>
  <c r="N113" i="3"/>
  <c r="L113" i="3"/>
  <c r="K113" i="3"/>
  <c r="J113" i="3"/>
  <c r="I113" i="3"/>
  <c r="G113" i="3"/>
  <c r="F113" i="3"/>
  <c r="E113" i="3"/>
  <c r="D113" i="3"/>
  <c r="Q107" i="3"/>
  <c r="P107" i="3"/>
  <c r="O107" i="3"/>
  <c r="N107" i="3"/>
  <c r="L107" i="3"/>
  <c r="K107" i="3"/>
  <c r="J107" i="3"/>
  <c r="I107" i="3"/>
  <c r="G107" i="3"/>
  <c r="F107" i="3"/>
  <c r="E107" i="3"/>
  <c r="D107" i="3"/>
  <c r="Q101" i="3"/>
  <c r="P101" i="3"/>
  <c r="O101" i="3"/>
  <c r="N101" i="3"/>
  <c r="L101" i="3"/>
  <c r="K101" i="3"/>
  <c r="J101" i="3"/>
  <c r="I101" i="3"/>
  <c r="G101" i="3"/>
  <c r="F101" i="3"/>
  <c r="E101" i="3"/>
  <c r="D101" i="3"/>
  <c r="Q95" i="3"/>
  <c r="P95" i="3"/>
  <c r="O95" i="3"/>
  <c r="N95" i="3"/>
  <c r="L95" i="3"/>
  <c r="K95" i="3"/>
  <c r="J95" i="3"/>
  <c r="I95" i="3"/>
  <c r="G95" i="3"/>
  <c r="F95" i="3"/>
  <c r="E95" i="3"/>
  <c r="D95" i="3"/>
  <c r="Q89" i="3"/>
  <c r="P89" i="3"/>
  <c r="O89" i="3"/>
  <c r="N89" i="3"/>
  <c r="L89" i="3"/>
  <c r="K89" i="3"/>
  <c r="J89" i="3"/>
  <c r="G89" i="3"/>
  <c r="F89" i="3"/>
  <c r="E89" i="3"/>
  <c r="D89" i="3"/>
  <c r="Q83" i="3"/>
  <c r="P83" i="3"/>
  <c r="O83" i="3"/>
  <c r="N83" i="3"/>
  <c r="L83" i="3"/>
  <c r="K83" i="3"/>
  <c r="J83" i="3"/>
  <c r="I83" i="3"/>
  <c r="G83" i="3"/>
  <c r="F83" i="3"/>
  <c r="E83" i="3"/>
  <c r="D83" i="3"/>
  <c r="Q77" i="3"/>
  <c r="P77" i="3"/>
  <c r="O77" i="3"/>
  <c r="N77" i="3"/>
  <c r="L77" i="3"/>
  <c r="K77" i="3"/>
  <c r="J77" i="3"/>
  <c r="I77" i="3"/>
  <c r="G77" i="3"/>
  <c r="F77" i="3"/>
  <c r="E77" i="3"/>
  <c r="D77" i="3"/>
  <c r="Q140" i="3"/>
  <c r="P140" i="3"/>
  <c r="O140" i="3"/>
  <c r="S139" i="3" s="1"/>
  <c r="N140" i="3"/>
  <c r="L140" i="3"/>
  <c r="J140" i="3"/>
  <c r="K140" i="3"/>
  <c r="I140" i="3"/>
  <c r="Q51" i="3"/>
  <c r="N51" i="3"/>
  <c r="L54" i="3"/>
  <c r="L51" i="3"/>
  <c r="K51" i="3"/>
  <c r="J54" i="3"/>
  <c r="J51" i="3"/>
  <c r="Q58" i="3"/>
  <c r="Q157" i="3"/>
  <c r="Q155" i="3"/>
  <c r="Q138" i="3"/>
  <c r="Q136" i="3"/>
  <c r="Q130" i="3"/>
  <c r="Q128" i="3"/>
  <c r="Q124" i="3"/>
  <c r="Q122" i="3"/>
  <c r="Q118" i="3"/>
  <c r="Q116" i="3"/>
  <c r="Q112" i="3"/>
  <c r="Q110" i="3"/>
  <c r="Q106" i="3"/>
  <c r="Q104" i="3"/>
  <c r="Q100" i="3"/>
  <c r="Q98" i="3"/>
  <c r="Q94" i="3"/>
  <c r="Q92" i="3"/>
  <c r="Q88" i="3"/>
  <c r="Q86" i="3"/>
  <c r="Q82" i="3"/>
  <c r="Q80" i="3"/>
  <c r="Q76" i="3"/>
  <c r="Q74" i="3"/>
  <c r="Q159" i="3" l="1"/>
  <c r="Q164" i="3" s="1"/>
  <c r="AH232" i="3"/>
  <c r="AH238" i="3"/>
  <c r="AH236" i="3"/>
  <c r="AH234" i="3"/>
  <c r="D143" i="3"/>
  <c r="D134" i="3"/>
  <c r="D147" i="3"/>
  <c r="N296" i="3"/>
  <c r="S296" i="3" s="1"/>
  <c r="X296" i="3" s="1"/>
  <c r="AC296" i="3" s="1"/>
  <c r="AH296" i="3" s="1"/>
  <c r="AM296" i="3" s="1"/>
  <c r="P296" i="3"/>
  <c r="U296" i="3" s="1"/>
  <c r="Z296" i="3" s="1"/>
  <c r="AE296" i="3" s="1"/>
  <c r="AJ296" i="3" s="1"/>
  <c r="AO296" i="3" s="1"/>
  <c r="O296" i="3"/>
  <c r="T296" i="3" s="1"/>
  <c r="Y296" i="3" s="1"/>
  <c r="AD296" i="3" s="1"/>
  <c r="AI296" i="3" s="1"/>
  <c r="AN296" i="3" s="1"/>
  <c r="I296" i="3"/>
  <c r="L296" i="3"/>
  <c r="K296" i="3"/>
  <c r="J296" i="3"/>
  <c r="F296" i="3"/>
  <c r="G296" i="3"/>
  <c r="E296" i="3"/>
  <c r="AH38" i="3" l="1"/>
  <c r="AI238" i="3"/>
  <c r="AI236" i="3"/>
  <c r="AI234" i="3"/>
  <c r="AI232" i="3"/>
  <c r="T139" i="3"/>
  <c r="AQ199" i="3"/>
  <c r="AQ196" i="3"/>
  <c r="AL199" i="3"/>
  <c r="AL196" i="3"/>
  <c r="AG199" i="3"/>
  <c r="AG196" i="3"/>
  <c r="AB199" i="3"/>
  <c r="AB196" i="3"/>
  <c r="W198" i="3"/>
  <c r="AB198" i="3" s="1"/>
  <c r="AG198" i="3" s="1"/>
  <c r="W196" i="3"/>
  <c r="F199" i="3"/>
  <c r="E199" i="3"/>
  <c r="E196" i="3"/>
  <c r="F196" i="3" s="1"/>
  <c r="G196" i="3" s="1"/>
  <c r="D199" i="3"/>
  <c r="K196" i="3"/>
  <c r="L196" i="3" s="1"/>
  <c r="J199" i="3"/>
  <c r="O199" i="3"/>
  <c r="O196" i="3"/>
  <c r="P196" i="3" s="1"/>
  <c r="Q196" i="3" s="1"/>
  <c r="J193" i="3"/>
  <c r="O193" i="3"/>
  <c r="I199" i="3"/>
  <c r="N199" i="3"/>
  <c r="I193" i="3"/>
  <c r="R203" i="3"/>
  <c r="K199" i="3"/>
  <c r="P199" i="3"/>
  <c r="K193" i="3"/>
  <c r="P193" i="3"/>
  <c r="M191" i="3"/>
  <c r="M192" i="3" s="1"/>
  <c r="H191" i="3"/>
  <c r="H192" i="3" s="1"/>
  <c r="R280" i="3"/>
  <c r="R281" i="3" s="1"/>
  <c r="P295" i="3"/>
  <c r="U295" i="3" s="1"/>
  <c r="Z295" i="3" s="1"/>
  <c r="AE295" i="3" s="1"/>
  <c r="AJ295" i="3" s="1"/>
  <c r="AO295" i="3" s="1"/>
  <c r="O295" i="3"/>
  <c r="T295" i="3" s="1"/>
  <c r="Y295" i="3" s="1"/>
  <c r="AD295" i="3" s="1"/>
  <c r="AI295" i="3" s="1"/>
  <c r="AN295" i="3" s="1"/>
  <c r="N295" i="3"/>
  <c r="S295" i="3" s="1"/>
  <c r="X295" i="3" s="1"/>
  <c r="AC295" i="3" s="1"/>
  <c r="AH295" i="3" s="1"/>
  <c r="AM295" i="3" s="1"/>
  <c r="I295" i="3"/>
  <c r="L295" i="3"/>
  <c r="K295" i="3"/>
  <c r="J295" i="3"/>
  <c r="F295" i="3"/>
  <c r="G295" i="3"/>
  <c r="E295" i="3"/>
  <c r="D295" i="3"/>
  <c r="I293" i="3"/>
  <c r="P300" i="3"/>
  <c r="S300" i="3" s="1"/>
  <c r="T300" i="3" s="1"/>
  <c r="U300" i="3" s="1"/>
  <c r="V300" i="3" s="1"/>
  <c r="X300" i="3" s="1"/>
  <c r="Y300" i="3" s="1"/>
  <c r="Z300" i="3" s="1"/>
  <c r="AA300" i="3" s="1"/>
  <c r="AC300" i="3" s="1"/>
  <c r="AD300" i="3" s="1"/>
  <c r="AE300" i="3" s="1"/>
  <c r="AF300" i="3" s="1"/>
  <c r="AH300" i="3" s="1"/>
  <c r="AI300" i="3" s="1"/>
  <c r="AJ300" i="3" s="1"/>
  <c r="AK300" i="3" s="1"/>
  <c r="AM300" i="3" s="1"/>
  <c r="AN300" i="3" s="1"/>
  <c r="AO300" i="3" s="1"/>
  <c r="AP300" i="3" s="1"/>
  <c r="O300" i="3"/>
  <c r="N300" i="3"/>
  <c r="P299" i="3"/>
  <c r="S299" i="3" s="1"/>
  <c r="T299" i="3" s="1"/>
  <c r="U299" i="3" s="1"/>
  <c r="V299" i="3" s="1"/>
  <c r="X299" i="3" s="1"/>
  <c r="Y299" i="3" s="1"/>
  <c r="Z299" i="3" s="1"/>
  <c r="AA299" i="3" s="1"/>
  <c r="AC299" i="3" s="1"/>
  <c r="AD299" i="3" s="1"/>
  <c r="AE299" i="3" s="1"/>
  <c r="AF299" i="3" s="1"/>
  <c r="AH299" i="3" s="1"/>
  <c r="AI299" i="3" s="1"/>
  <c r="AJ299" i="3" s="1"/>
  <c r="AK299" i="3" s="1"/>
  <c r="AM299" i="3" s="1"/>
  <c r="AN299" i="3" s="1"/>
  <c r="AO299" i="3" s="1"/>
  <c r="AP299" i="3" s="1"/>
  <c r="O299" i="3"/>
  <c r="N299" i="3"/>
  <c r="L300" i="3"/>
  <c r="K300" i="3"/>
  <c r="J300" i="3"/>
  <c r="I300" i="3"/>
  <c r="L299" i="3"/>
  <c r="K299" i="3"/>
  <c r="J299" i="3"/>
  <c r="I299" i="3"/>
  <c r="E299" i="3"/>
  <c r="F299" i="3"/>
  <c r="G299" i="3"/>
  <c r="E300" i="3"/>
  <c r="F300" i="3"/>
  <c r="G300" i="3"/>
  <c r="D300" i="3"/>
  <c r="D299" i="3"/>
  <c r="I354" i="3"/>
  <c r="N354" i="3"/>
  <c r="D354" i="3"/>
  <c r="G199" i="3" l="1"/>
  <c r="Q199" i="3"/>
  <c r="AI38" i="3"/>
  <c r="AJ236" i="3"/>
  <c r="AJ234" i="3"/>
  <c r="AJ232" i="3"/>
  <c r="AJ238" i="3"/>
  <c r="W278" i="3"/>
  <c r="W280" i="3"/>
  <c r="AB280" i="3" s="1"/>
  <c r="AG280" i="3" s="1"/>
  <c r="AL280" i="3" s="1"/>
  <c r="AQ280" i="3" s="1"/>
  <c r="AB192" i="3"/>
  <c r="AG192" i="3" s="1"/>
  <c r="AL192" i="3" s="1"/>
  <c r="AQ192" i="3" s="1"/>
  <c r="U139" i="3"/>
  <c r="AL198" i="3"/>
  <c r="AQ198" i="3" s="1"/>
  <c r="H193" i="3"/>
  <c r="G193" i="3" s="1"/>
  <c r="R264" i="3"/>
  <c r="P291" i="3"/>
  <c r="O291" i="3"/>
  <c r="N291" i="3"/>
  <c r="L291" i="3"/>
  <c r="K291" i="3"/>
  <c r="J291" i="3"/>
  <c r="I291" i="3"/>
  <c r="E291" i="3"/>
  <c r="F291" i="3"/>
  <c r="G291" i="3"/>
  <c r="D291" i="3"/>
  <c r="P289" i="3"/>
  <c r="O289" i="3"/>
  <c r="T289" i="3" s="1"/>
  <c r="Y289" i="3" s="1"/>
  <c r="N289" i="3"/>
  <c r="S289" i="3" s="1"/>
  <c r="X289" i="3" s="1"/>
  <c r="E289" i="3"/>
  <c r="D289" i="3"/>
  <c r="I289" i="3"/>
  <c r="I290" i="3" s="1"/>
  <c r="S291" i="3" l="1"/>
  <c r="X290" i="3"/>
  <c r="AC289" i="3"/>
  <c r="Y290" i="3"/>
  <c r="AD289" i="3"/>
  <c r="P290" i="3"/>
  <c r="U289" i="3"/>
  <c r="Z289" i="3" s="1"/>
  <c r="AJ38" i="3"/>
  <c r="X278" i="3"/>
  <c r="W281" i="3"/>
  <c r="W253" i="3"/>
  <c r="AK234" i="3"/>
  <c r="AL234" i="3" s="1"/>
  <c r="AK232" i="3"/>
  <c r="AL232" i="3" s="1"/>
  <c r="AK236" i="3"/>
  <c r="AL236" i="3" s="1"/>
  <c r="M279" i="3"/>
  <c r="AB191" i="3"/>
  <c r="M193" i="3"/>
  <c r="L193" i="3" s="1"/>
  <c r="R193" i="3"/>
  <c r="V139" i="3"/>
  <c r="W199" i="3"/>
  <c r="W186" i="3" s="1"/>
  <c r="T291" i="3"/>
  <c r="U291" i="3" s="1"/>
  <c r="V291" i="3" s="1"/>
  <c r="X291" i="3" s="1"/>
  <c r="Y291" i="3" s="1"/>
  <c r="Z291" i="3" s="1"/>
  <c r="AA291" i="3" s="1"/>
  <c r="AC291" i="3" s="1"/>
  <c r="AD291" i="3" s="1"/>
  <c r="AE291" i="3" s="1"/>
  <c r="AF291" i="3" s="1"/>
  <c r="AH291" i="3" s="1"/>
  <c r="AI291" i="3" s="1"/>
  <c r="AJ291" i="3" s="1"/>
  <c r="AK291" i="3" s="1"/>
  <c r="AM291" i="3" s="1"/>
  <c r="AN291" i="3" s="1"/>
  <c r="AO291" i="3" s="1"/>
  <c r="AP291" i="3" s="1"/>
  <c r="D218" i="3"/>
  <c r="E218" i="3"/>
  <c r="F218" i="3"/>
  <c r="G218" i="3"/>
  <c r="I218" i="3"/>
  <c r="J218" i="3"/>
  <c r="K218" i="3"/>
  <c r="L218" i="3"/>
  <c r="N218" i="3"/>
  <c r="O218" i="3"/>
  <c r="P218" i="3"/>
  <c r="D219" i="3"/>
  <c r="E219" i="3"/>
  <c r="F219" i="3"/>
  <c r="G219" i="3"/>
  <c r="I219" i="3"/>
  <c r="J219" i="3"/>
  <c r="K219" i="3"/>
  <c r="L219" i="3"/>
  <c r="N219" i="3"/>
  <c r="O219" i="3"/>
  <c r="P219" i="3"/>
  <c r="D220" i="3"/>
  <c r="E220" i="3"/>
  <c r="F220" i="3"/>
  <c r="G220" i="3"/>
  <c r="I220" i="3"/>
  <c r="J220" i="3"/>
  <c r="K220" i="3"/>
  <c r="L220" i="3"/>
  <c r="N220" i="3"/>
  <c r="O220" i="3"/>
  <c r="P220" i="3"/>
  <c r="G216" i="3"/>
  <c r="F216" i="3"/>
  <c r="E216" i="3"/>
  <c r="D216" i="3"/>
  <c r="R32" i="3"/>
  <c r="R33" i="3" s="1"/>
  <c r="M199" i="3"/>
  <c r="L199" i="3" s="1"/>
  <c r="W210" i="3"/>
  <c r="AB210" i="3" s="1"/>
  <c r="AG210" i="3" s="1"/>
  <c r="AL210" i="3" s="1"/>
  <c r="AQ210" i="3" s="1"/>
  <c r="AB211" i="3"/>
  <c r="AA203" i="3" s="1"/>
  <c r="W204" i="3"/>
  <c r="P205" i="3"/>
  <c r="O205" i="3"/>
  <c r="N205" i="3"/>
  <c r="R204" i="3"/>
  <c r="I205" i="3"/>
  <c r="J205" i="3"/>
  <c r="M203" i="3"/>
  <c r="M189" i="3"/>
  <c r="H189" i="3"/>
  <c r="M188" i="3"/>
  <c r="H188" i="3"/>
  <c r="L205" i="3"/>
  <c r="K205" i="3"/>
  <c r="F205" i="3"/>
  <c r="E205" i="3"/>
  <c r="H204" i="3"/>
  <c r="H203" i="3"/>
  <c r="H205" i="3" s="1"/>
  <c r="M204" i="3"/>
  <c r="M201" i="3"/>
  <c r="P173" i="3"/>
  <c r="G176" i="3"/>
  <c r="G180" i="3" s="1"/>
  <c r="F176" i="3"/>
  <c r="F180" i="3" s="1"/>
  <c r="E176" i="3"/>
  <c r="E180" i="3" s="1"/>
  <c r="D180" i="3"/>
  <c r="G175" i="3"/>
  <c r="F175" i="3"/>
  <c r="E175" i="3"/>
  <c r="G173" i="3"/>
  <c r="F173" i="3"/>
  <c r="E173" i="3"/>
  <c r="L176" i="3"/>
  <c r="L180" i="3" s="1"/>
  <c r="K176" i="3"/>
  <c r="K180" i="3" s="1"/>
  <c r="J176" i="3"/>
  <c r="J180" i="3" s="1"/>
  <c r="I176" i="3"/>
  <c r="I180" i="3" s="1"/>
  <c r="L175" i="3"/>
  <c r="K175" i="3"/>
  <c r="J175" i="3"/>
  <c r="I175" i="3"/>
  <c r="L173" i="3"/>
  <c r="K173" i="3"/>
  <c r="J173" i="3"/>
  <c r="I173" i="3"/>
  <c r="O176" i="3"/>
  <c r="O180" i="3" s="1"/>
  <c r="N176" i="3"/>
  <c r="N180" i="3" s="1"/>
  <c r="O175" i="3"/>
  <c r="N175" i="3"/>
  <c r="O173" i="3"/>
  <c r="N173" i="3"/>
  <c r="P176" i="3"/>
  <c r="P175" i="3"/>
  <c r="P181" i="3" s="1"/>
  <c r="AD290" i="3" l="1"/>
  <c r="AI289" i="3"/>
  <c r="Z290" i="3"/>
  <c r="AE289" i="3"/>
  <c r="AC290" i="3"/>
  <c r="AH289" i="3"/>
  <c r="AG211" i="3"/>
  <c r="AB203" i="3"/>
  <c r="AG191" i="3"/>
  <c r="AL191" i="3" s="1"/>
  <c r="AQ191" i="3" s="1"/>
  <c r="AB279" i="3"/>
  <c r="AM238" i="3"/>
  <c r="AM236" i="3"/>
  <c r="AM234" i="3"/>
  <c r="AM232" i="3"/>
  <c r="Y278" i="3"/>
  <c r="M281" i="3"/>
  <c r="Q193" i="3"/>
  <c r="S193" i="3"/>
  <c r="S279" i="3" s="1"/>
  <c r="S281" i="3" s="1"/>
  <c r="U248" i="3"/>
  <c r="AB207" i="3"/>
  <c r="AB212" i="3" s="1"/>
  <c r="V193" i="3"/>
  <c r="U193" i="3"/>
  <c r="T193" i="3"/>
  <c r="X139" i="3"/>
  <c r="W187" i="3"/>
  <c r="AB208" i="3"/>
  <c r="M205" i="3"/>
  <c r="P180" i="3"/>
  <c r="S175" i="3"/>
  <c r="T175" i="3" s="1"/>
  <c r="U175" i="3" s="1"/>
  <c r="V175" i="3" s="1"/>
  <c r="X175" i="3" s="1"/>
  <c r="Y175" i="3" s="1"/>
  <c r="N181" i="3"/>
  <c r="K181" i="3"/>
  <c r="F181" i="3"/>
  <c r="L181" i="3"/>
  <c r="G181" i="3"/>
  <c r="I181" i="3"/>
  <c r="D181" i="3"/>
  <c r="O181" i="3"/>
  <c r="J181" i="3"/>
  <c r="E181" i="3"/>
  <c r="AH290" i="3" l="1"/>
  <c r="AM289" i="3"/>
  <c r="AM290" i="3" s="1"/>
  <c r="X173" i="3"/>
  <c r="Y173" i="3" s="1"/>
  <c r="Z173" i="3" s="1"/>
  <c r="AI290" i="3"/>
  <c r="AN289" i="3"/>
  <c r="AN290" i="3" s="1"/>
  <c r="AE290" i="3"/>
  <c r="AJ289" i="3"/>
  <c r="AA201" i="3"/>
  <c r="AB201" i="3" s="1"/>
  <c r="AL211" i="3"/>
  <c r="AF203" i="3"/>
  <c r="AG203" i="3" s="1"/>
  <c r="AG279" i="3"/>
  <c r="Z278" i="3"/>
  <c r="AM38" i="3"/>
  <c r="AN236" i="3"/>
  <c r="AN234" i="3"/>
  <c r="AN232" i="3"/>
  <c r="AN238" i="3"/>
  <c r="T279" i="3"/>
  <c r="V248" i="3"/>
  <c r="AG207" i="3"/>
  <c r="W193" i="3"/>
  <c r="Y193" i="3" s="1"/>
  <c r="Y139" i="3"/>
  <c r="T205" i="3"/>
  <c r="T22" i="3" s="1"/>
  <c r="AB187" i="3"/>
  <c r="Q205" i="3"/>
  <c r="AB186" i="3"/>
  <c r="AG186" i="3" s="1"/>
  <c r="AL186" i="3" s="1"/>
  <c r="AQ186" i="3" s="1"/>
  <c r="AG208" i="3"/>
  <c r="R189" i="3"/>
  <c r="Z175" i="3"/>
  <c r="AJ290" i="3" l="1"/>
  <c r="AO289" i="3"/>
  <c r="AO290" i="3" s="1"/>
  <c r="AL207" i="3"/>
  <c r="AG212" i="3"/>
  <c r="AF201" i="3" s="1"/>
  <c r="AG201" i="3" s="1"/>
  <c r="AQ211" i="3"/>
  <c r="AP203" i="3" s="1"/>
  <c r="AQ203" i="3" s="1"/>
  <c r="AK203" i="3"/>
  <c r="AL203" i="3" s="1"/>
  <c r="AO234" i="3"/>
  <c r="AO232" i="3"/>
  <c r="AO238" i="3"/>
  <c r="AO236" i="3"/>
  <c r="AN38" i="3"/>
  <c r="AA278" i="3"/>
  <c r="AL279" i="3"/>
  <c r="X248" i="3"/>
  <c r="U279" i="3"/>
  <c r="T281" i="3"/>
  <c r="W264" i="3"/>
  <c r="W310" i="3"/>
  <c r="W248" i="3"/>
  <c r="Z193" i="3"/>
  <c r="AA193" i="3"/>
  <c r="X193" i="3"/>
  <c r="X279" i="3" s="1"/>
  <c r="Z139" i="3"/>
  <c r="AG187" i="3"/>
  <c r="Y205" i="3"/>
  <c r="Y22" i="3" s="1"/>
  <c r="S205" i="3"/>
  <c r="S22" i="3" s="1"/>
  <c r="R201" i="3"/>
  <c r="R205" i="3" s="1"/>
  <c r="U205" i="3"/>
  <c r="U22" i="3" s="1"/>
  <c r="AB188" i="3"/>
  <c r="AB189" i="3"/>
  <c r="AL208" i="3"/>
  <c r="W189" i="3"/>
  <c r="W188" i="3"/>
  <c r="AA175" i="3"/>
  <c r="AA173" i="3"/>
  <c r="AQ207" i="3" l="1"/>
  <c r="AQ212" i="3" s="1"/>
  <c r="AL212" i="3"/>
  <c r="AK201" i="3" s="1"/>
  <c r="AL201" i="3" s="1"/>
  <c r="Y279" i="3"/>
  <c r="X281" i="3"/>
  <c r="AB253" i="3"/>
  <c r="AB324" i="3"/>
  <c r="AQ279" i="3"/>
  <c r="AO38" i="3"/>
  <c r="AB278" i="3"/>
  <c r="AP232" i="3"/>
  <c r="AP236" i="3"/>
  <c r="AQ236" i="3" s="1"/>
  <c r="AP234" i="3"/>
  <c r="AQ234" i="3" s="1"/>
  <c r="AB317" i="3"/>
  <c r="Y248" i="3"/>
  <c r="V279" i="3"/>
  <c r="V281" i="3" s="1"/>
  <c r="U281" i="3"/>
  <c r="AB193" i="3"/>
  <c r="Z205" i="3"/>
  <c r="Z22" i="3" s="1"/>
  <c r="AA139" i="3"/>
  <c r="V205" i="3"/>
  <c r="AQ208" i="3"/>
  <c r="W201" i="3"/>
  <c r="W205" i="3" s="1"/>
  <c r="X205" i="3"/>
  <c r="X22" i="3" s="1"/>
  <c r="AA205" i="3"/>
  <c r="AL187" i="3"/>
  <c r="AG189" i="3"/>
  <c r="AG188" i="3"/>
  <c r="AC205" i="3"/>
  <c r="AC22" i="3" s="1"/>
  <c r="AC173" i="3"/>
  <c r="AD173" i="3" s="1"/>
  <c r="AE173" i="3" s="1"/>
  <c r="AF173" i="3" s="1"/>
  <c r="AC175" i="3"/>
  <c r="AD175" i="3" s="1"/>
  <c r="AE175" i="3" s="1"/>
  <c r="AF175" i="3" s="1"/>
  <c r="AH175" i="3" s="1"/>
  <c r="AI175" i="3" s="1"/>
  <c r="AJ175" i="3" s="1"/>
  <c r="AK175" i="3" s="1"/>
  <c r="AM175" i="3" s="1"/>
  <c r="AN175" i="3" s="1"/>
  <c r="AO175" i="3" s="1"/>
  <c r="AP175" i="3" s="1"/>
  <c r="V22" i="3" l="1"/>
  <c r="AA22" i="3"/>
  <c r="AP201" i="3"/>
  <c r="AQ201" i="3" s="1"/>
  <c r="Z248" i="3"/>
  <c r="AA248" i="3" s="1"/>
  <c r="Z279" i="3"/>
  <c r="Y281" i="3"/>
  <c r="AC248" i="3"/>
  <c r="AQ232" i="3"/>
  <c r="AG317" i="3"/>
  <c r="AB312" i="3"/>
  <c r="AB22" i="3"/>
  <c r="W312" i="3"/>
  <c r="AB281" i="3"/>
  <c r="AC278" i="3"/>
  <c r="AE193" i="3"/>
  <c r="AF193" i="3"/>
  <c r="AD193" i="3"/>
  <c r="AC193" i="3"/>
  <c r="AC279" i="3" s="1"/>
  <c r="AC139" i="3"/>
  <c r="AL188" i="3"/>
  <c r="AQ187" i="3"/>
  <c r="AL189" i="3"/>
  <c r="AH205" i="3"/>
  <c r="AH22" i="3" s="1"/>
  <c r="AD205" i="3"/>
  <c r="AD22" i="3" s="1"/>
  <c r="AB205" i="3"/>
  <c r="AH173" i="3"/>
  <c r="W237" i="3" l="1"/>
  <c r="W26" i="3" s="1"/>
  <c r="V26" i="3"/>
  <c r="AB237" i="3"/>
  <c r="AB26" i="3" s="1"/>
  <c r="AA26" i="3"/>
  <c r="AD279" i="3"/>
  <c r="AE279" i="3" s="1"/>
  <c r="AF279" i="3" s="1"/>
  <c r="AC281" i="3"/>
  <c r="AD278" i="3"/>
  <c r="AL317" i="3"/>
  <c r="AD248" i="3"/>
  <c r="AA279" i="3"/>
  <c r="AA281" i="3" s="1"/>
  <c r="Z281" i="3"/>
  <c r="AB264" i="3"/>
  <c r="AB248" i="3"/>
  <c r="AG193" i="3"/>
  <c r="AD139" i="3"/>
  <c r="AQ189" i="3"/>
  <c r="AQ188" i="3"/>
  <c r="AN205" i="3"/>
  <c r="AN22" i="3" s="1"/>
  <c r="AI173" i="3"/>
  <c r="AJ173" i="3" s="1"/>
  <c r="AK173" i="3" s="1"/>
  <c r="W238" i="3" l="1"/>
  <c r="W38" i="3" s="1"/>
  <c r="V38" i="3"/>
  <c r="AB238" i="3"/>
  <c r="AB38" i="3" s="1"/>
  <c r="AA38" i="3"/>
  <c r="AQ317" i="3"/>
  <c r="AE248" i="3"/>
  <c r="AB310" i="3"/>
  <c r="AD281" i="3"/>
  <c r="AE278" i="3"/>
  <c r="AH193" i="3"/>
  <c r="AH279" i="3" s="1"/>
  <c r="AJ193" i="3"/>
  <c r="AI193" i="3"/>
  <c r="AK193" i="3"/>
  <c r="AE139" i="3"/>
  <c r="AM205" i="3"/>
  <c r="AM22" i="3" s="1"/>
  <c r="AI205" i="3"/>
  <c r="AI22" i="3" s="1"/>
  <c r="AJ205" i="3"/>
  <c r="AJ22" i="3" s="1"/>
  <c r="AE205" i="3"/>
  <c r="AE22" i="3" s="1"/>
  <c r="AO205" i="3"/>
  <c r="AO22" i="3" s="1"/>
  <c r="AM173" i="3"/>
  <c r="P24" i="3"/>
  <c r="P177" i="3" s="1"/>
  <c r="P182" i="3" s="1"/>
  <c r="AF248" i="3" l="1"/>
  <c r="AG253" i="3"/>
  <c r="AG324" i="3"/>
  <c r="AI279" i="3"/>
  <c r="AJ279" i="3" s="1"/>
  <c r="AK279" i="3" s="1"/>
  <c r="AE281" i="3"/>
  <c r="AF278" i="3"/>
  <c r="AL193" i="3"/>
  <c r="AF139" i="3"/>
  <c r="AL205" i="3"/>
  <c r="AP205" i="3"/>
  <c r="AG205" i="3"/>
  <c r="AF205" i="3"/>
  <c r="AN173" i="3"/>
  <c r="AO173" i="3" s="1"/>
  <c r="AP173" i="3" s="1"/>
  <c r="P25" i="3"/>
  <c r="H165" i="3"/>
  <c r="M165" i="3"/>
  <c r="AF22" i="3" l="1"/>
  <c r="AG312" i="3" s="1"/>
  <c r="AF237" i="3"/>
  <c r="P27" i="3"/>
  <c r="P39" i="3" s="1"/>
  <c r="P44" i="3" s="1"/>
  <c r="P217" i="3"/>
  <c r="AP22" i="3"/>
  <c r="AP237" i="3"/>
  <c r="AG22" i="3"/>
  <c r="AQ312" i="3"/>
  <c r="AG248" i="3"/>
  <c r="AH248" i="3"/>
  <c r="AI248" i="3" s="1"/>
  <c r="AG278" i="3"/>
  <c r="AF281" i="3"/>
  <c r="AO193" i="3"/>
  <c r="AN193" i="3"/>
  <c r="AM193" i="3"/>
  <c r="AM279" i="3" s="1"/>
  <c r="AP193" i="3"/>
  <c r="AK205" i="3"/>
  <c r="AH139" i="3"/>
  <c r="AQ205" i="3"/>
  <c r="Q180" i="3"/>
  <c r="AQ22" i="3" l="1"/>
  <c r="AK22" i="3"/>
  <c r="AK237" i="3"/>
  <c r="AP26" i="3"/>
  <c r="AQ237" i="3"/>
  <c r="AQ26" i="3" s="1"/>
  <c r="AP238" i="3"/>
  <c r="AF26" i="3"/>
  <c r="AG237" i="3"/>
  <c r="AG26" i="3" s="1"/>
  <c r="AF238" i="3"/>
  <c r="AL312" i="3"/>
  <c r="AL22" i="3"/>
  <c r="AG264" i="3"/>
  <c r="AG310" i="3"/>
  <c r="AH278" i="3"/>
  <c r="AG281" i="3"/>
  <c r="AJ248" i="3"/>
  <c r="AK248" i="3" s="1"/>
  <c r="AN279" i="3"/>
  <c r="AO279" i="3" s="1"/>
  <c r="AP279" i="3" s="1"/>
  <c r="AQ193" i="3"/>
  <c r="AI139" i="3"/>
  <c r="AG238" i="3" l="1"/>
  <c r="AG38" i="3" s="1"/>
  <c r="AF38" i="3"/>
  <c r="AK26" i="3"/>
  <c r="AL237" i="3"/>
  <c r="AL26" i="3" s="1"/>
  <c r="AK238" i="3"/>
  <c r="AQ238" i="3"/>
  <c r="AQ38" i="3" s="1"/>
  <c r="AP38" i="3"/>
  <c r="AI278" i="3"/>
  <c r="AH281" i="3"/>
  <c r="AL248" i="3"/>
  <c r="AM248" i="3"/>
  <c r="AJ139" i="3"/>
  <c r="AL238" i="3" l="1"/>
  <c r="AL38" i="3" s="1"/>
  <c r="AK38" i="3"/>
  <c r="AN248" i="3"/>
  <c r="AO248" i="3" s="1"/>
  <c r="AP248" i="3" s="1"/>
  <c r="AQ248" i="3" s="1"/>
  <c r="AL253" i="3"/>
  <c r="AL324" i="3"/>
  <c r="AI281" i="3"/>
  <c r="AJ278" i="3"/>
  <c r="AK139" i="3"/>
  <c r="AJ281" i="3" l="1"/>
  <c r="AK278" i="3"/>
  <c r="AM139" i="3"/>
  <c r="G63" i="3"/>
  <c r="G64" i="3" s="1"/>
  <c r="F63" i="3"/>
  <c r="F64" i="3" s="1"/>
  <c r="E63" i="3"/>
  <c r="E64" i="3" s="1"/>
  <c r="D63" i="3"/>
  <c r="D64" i="3" s="1"/>
  <c r="L63" i="3"/>
  <c r="L64" i="3" s="1"/>
  <c r="K63" i="3"/>
  <c r="K64" i="3" s="1"/>
  <c r="J63" i="3"/>
  <c r="J64" i="3" s="1"/>
  <c r="I63" i="3"/>
  <c r="I64" i="3" s="1"/>
  <c r="O63" i="3"/>
  <c r="O64" i="3" s="1"/>
  <c r="P63" i="3"/>
  <c r="P64" i="3" s="1"/>
  <c r="N63" i="3"/>
  <c r="N64" i="3" s="1"/>
  <c r="P169" i="3"/>
  <c r="O169" i="3"/>
  <c r="N169" i="3"/>
  <c r="L169" i="3"/>
  <c r="K169" i="3"/>
  <c r="J169" i="3"/>
  <c r="I169" i="3"/>
  <c r="P157" i="3"/>
  <c r="O157" i="3"/>
  <c r="N157" i="3"/>
  <c r="L157" i="3"/>
  <c r="K157" i="3"/>
  <c r="J157" i="3"/>
  <c r="I157" i="3"/>
  <c r="P155" i="3"/>
  <c r="O155" i="3"/>
  <c r="N155" i="3"/>
  <c r="L155" i="3"/>
  <c r="K155" i="3"/>
  <c r="J155" i="3"/>
  <c r="I155" i="3"/>
  <c r="L152" i="3"/>
  <c r="L159" i="3" s="1"/>
  <c r="K152" i="3"/>
  <c r="K159" i="3" s="1"/>
  <c r="J152" i="3"/>
  <c r="P152" i="3"/>
  <c r="P159" i="3" s="1"/>
  <c r="O152" i="3"/>
  <c r="O159" i="3" s="1"/>
  <c r="N152" i="3"/>
  <c r="N159" i="3" s="1"/>
  <c r="N164" i="3" s="1"/>
  <c r="P128" i="3"/>
  <c r="F72" i="3"/>
  <c r="M258" i="3"/>
  <c r="F283" i="3"/>
  <c r="F298" i="3" s="1"/>
  <c r="G283" i="3"/>
  <c r="G298" i="3" s="1"/>
  <c r="D283" i="3"/>
  <c r="D298" i="3" s="1"/>
  <c r="E283" i="3"/>
  <c r="E298" i="3" s="1"/>
  <c r="I283" i="3"/>
  <c r="I298" i="3" s="1"/>
  <c r="J283" i="3"/>
  <c r="J298" i="3" s="1"/>
  <c r="K283" i="3"/>
  <c r="K298" i="3" s="1"/>
  <c r="N283" i="3"/>
  <c r="N298" i="3" s="1"/>
  <c r="O283" i="3"/>
  <c r="O298" i="3" s="1"/>
  <c r="R275" i="3"/>
  <c r="R268" i="3"/>
  <c r="R267" i="3"/>
  <c r="H282" i="3"/>
  <c r="H276" i="3"/>
  <c r="H275" i="3"/>
  <c r="H274" i="3"/>
  <c r="H269" i="3"/>
  <c r="H268" i="3"/>
  <c r="H267" i="3"/>
  <c r="H266" i="3"/>
  <c r="H265" i="3"/>
  <c r="H194" i="3" s="1"/>
  <c r="H195" i="3" s="1"/>
  <c r="H264" i="3"/>
  <c r="H263" i="3"/>
  <c r="H261" i="3"/>
  <c r="H260" i="3"/>
  <c r="H259" i="3"/>
  <c r="H258" i="3"/>
  <c r="H345" i="3" s="1"/>
  <c r="H254" i="3"/>
  <c r="H253" i="3"/>
  <c r="H251" i="3"/>
  <c r="H250" i="3"/>
  <c r="I297" i="3" s="1"/>
  <c r="H248" i="3"/>
  <c r="H247" i="3"/>
  <c r="H246" i="3"/>
  <c r="H245" i="3"/>
  <c r="L283" i="3"/>
  <c r="L298" i="3" s="1"/>
  <c r="M269" i="3"/>
  <c r="M246" i="3"/>
  <c r="M251" i="3"/>
  <c r="M259" i="3"/>
  <c r="M264" i="3"/>
  <c r="M265" i="3"/>
  <c r="M194" i="3" s="1"/>
  <c r="M195" i="3" s="1"/>
  <c r="M266" i="3"/>
  <c r="M267" i="3"/>
  <c r="M268" i="3"/>
  <c r="M275" i="3"/>
  <c r="M282" i="3"/>
  <c r="P298" i="3"/>
  <c r="D262" i="3"/>
  <c r="E262" i="3"/>
  <c r="E270" i="3" s="1"/>
  <c r="F262" i="3"/>
  <c r="G262" i="3"/>
  <c r="I262" i="3"/>
  <c r="J262" i="3"/>
  <c r="K262" i="3"/>
  <c r="L262" i="3"/>
  <c r="L270" i="3" s="1"/>
  <c r="N262" i="3"/>
  <c r="O262" i="3"/>
  <c r="D252" i="3"/>
  <c r="E252" i="3"/>
  <c r="F252" i="3"/>
  <c r="G252" i="3"/>
  <c r="I252" i="3"/>
  <c r="J252" i="3"/>
  <c r="K252" i="3"/>
  <c r="L252" i="3"/>
  <c r="N252" i="3"/>
  <c r="O252" i="3"/>
  <c r="P252" i="3"/>
  <c r="O336" i="3"/>
  <c r="O334" i="3"/>
  <c r="P334" i="3" s="1"/>
  <c r="Q334" i="3" s="1"/>
  <c r="R334" i="3" s="1"/>
  <c r="O332" i="3"/>
  <c r="P332" i="3" s="1"/>
  <c r="Q332" i="3" s="1"/>
  <c r="R332" i="3" s="1"/>
  <c r="O331" i="3"/>
  <c r="O330" i="3"/>
  <c r="O328" i="3"/>
  <c r="O327" i="3"/>
  <c r="P327" i="3" s="1"/>
  <c r="Q327" i="3" s="1"/>
  <c r="R327" i="3" s="1"/>
  <c r="O324" i="3"/>
  <c r="P324" i="3" s="1"/>
  <c r="Q324" i="3" s="1"/>
  <c r="O323" i="3"/>
  <c r="P323" i="3" s="1"/>
  <c r="Q323" i="3" s="1"/>
  <c r="O322" i="3"/>
  <c r="O319" i="3"/>
  <c r="O318" i="3"/>
  <c r="P318" i="3" s="1"/>
  <c r="Q318" i="3" s="1"/>
  <c r="R318" i="3" s="1"/>
  <c r="O316" i="3"/>
  <c r="O315" i="3"/>
  <c r="O310" i="3"/>
  <c r="O309" i="3"/>
  <c r="O308" i="3"/>
  <c r="O351" i="3" s="1"/>
  <c r="O307" i="3"/>
  <c r="O297" i="3" s="1"/>
  <c r="J336" i="3"/>
  <c r="K336" i="3" s="1"/>
  <c r="L336" i="3" s="1"/>
  <c r="J332" i="3"/>
  <c r="K332" i="3" s="1"/>
  <c r="L332" i="3" s="1"/>
  <c r="J331" i="3"/>
  <c r="K331" i="3" s="1"/>
  <c r="L331" i="3" s="1"/>
  <c r="J330" i="3"/>
  <c r="K330" i="3" s="1"/>
  <c r="L330" i="3" s="1"/>
  <c r="J328" i="3"/>
  <c r="K328" i="3" s="1"/>
  <c r="L328" i="3" s="1"/>
  <c r="J324" i="3"/>
  <c r="K324" i="3" s="1"/>
  <c r="L324" i="3" s="1"/>
  <c r="J322" i="3"/>
  <c r="J319" i="3"/>
  <c r="K319" i="3" s="1"/>
  <c r="L319" i="3" s="1"/>
  <c r="J318" i="3"/>
  <c r="K318" i="3" s="1"/>
  <c r="L318" i="3" s="1"/>
  <c r="J316" i="3"/>
  <c r="K316" i="3" s="1"/>
  <c r="L316" i="3" s="1"/>
  <c r="J315" i="3"/>
  <c r="K315" i="3" s="1"/>
  <c r="L315" i="3" s="1"/>
  <c r="J313" i="3"/>
  <c r="K313" i="3" s="1"/>
  <c r="L313" i="3" s="1"/>
  <c r="J310" i="3"/>
  <c r="K310" i="3" s="1"/>
  <c r="L310" i="3" s="1"/>
  <c r="J309" i="3"/>
  <c r="K309" i="3" s="1"/>
  <c r="L309" i="3" s="1"/>
  <c r="J308" i="3"/>
  <c r="J307" i="3"/>
  <c r="J297" i="3" s="1"/>
  <c r="I334" i="3"/>
  <c r="J334" i="3" s="1"/>
  <c r="K334" i="3" s="1"/>
  <c r="L334" i="3" s="1"/>
  <c r="E336" i="3"/>
  <c r="F336" i="3" s="1"/>
  <c r="G336" i="3" s="1"/>
  <c r="E334" i="3"/>
  <c r="F334" i="3" s="1"/>
  <c r="G334" i="3" s="1"/>
  <c r="E332" i="3"/>
  <c r="F332" i="3" s="1"/>
  <c r="G332" i="3" s="1"/>
  <c r="E331" i="3"/>
  <c r="F331" i="3" s="1"/>
  <c r="G331" i="3" s="1"/>
  <c r="E330" i="3"/>
  <c r="F330" i="3" s="1"/>
  <c r="G330" i="3" s="1"/>
  <c r="E329" i="3"/>
  <c r="F329" i="3" s="1"/>
  <c r="G329" i="3" s="1"/>
  <c r="E328" i="3"/>
  <c r="F328" i="3" s="1"/>
  <c r="G328" i="3" s="1"/>
  <c r="E324" i="3"/>
  <c r="F324" i="3" s="1"/>
  <c r="G324" i="3" s="1"/>
  <c r="E322" i="3"/>
  <c r="E319" i="3"/>
  <c r="F319" i="3" s="1"/>
  <c r="G319" i="3" s="1"/>
  <c r="E318" i="3"/>
  <c r="F318" i="3" s="1"/>
  <c r="G318" i="3" s="1"/>
  <c r="E316" i="3"/>
  <c r="F316" i="3" s="1"/>
  <c r="G316" i="3" s="1"/>
  <c r="E315" i="3"/>
  <c r="F315" i="3" s="1"/>
  <c r="G315" i="3" s="1"/>
  <c r="E310" i="3"/>
  <c r="F310" i="3" s="1"/>
  <c r="G310" i="3" s="1"/>
  <c r="E309" i="3"/>
  <c r="F309" i="3" s="1"/>
  <c r="G309" i="3" s="1"/>
  <c r="E308" i="3"/>
  <c r="E307" i="3"/>
  <c r="E297" i="3" s="1"/>
  <c r="D335" i="3"/>
  <c r="N335" i="3"/>
  <c r="J333" i="3"/>
  <c r="K333" i="3" s="1"/>
  <c r="O329" i="3"/>
  <c r="J329" i="3"/>
  <c r="K329" i="3" s="1"/>
  <c r="L329" i="3" s="1"/>
  <c r="J327" i="3"/>
  <c r="J323" i="3"/>
  <c r="E323" i="3"/>
  <c r="O317" i="3"/>
  <c r="O313" i="3"/>
  <c r="O312" i="3"/>
  <c r="P312" i="3" s="1"/>
  <c r="Q312" i="3" s="1"/>
  <c r="R312" i="3" s="1"/>
  <c r="O311" i="3"/>
  <c r="P311" i="3" s="1"/>
  <c r="Q311" i="3" s="1"/>
  <c r="R311" i="3" s="1"/>
  <c r="J317" i="3"/>
  <c r="J312" i="3"/>
  <c r="J311" i="3"/>
  <c r="E317" i="3"/>
  <c r="E313" i="3"/>
  <c r="E312" i="3"/>
  <c r="E311" i="3"/>
  <c r="AL264" i="3" l="1"/>
  <c r="AL310" i="3"/>
  <c r="AK281" i="3"/>
  <c r="AL278" i="3"/>
  <c r="F308" i="3"/>
  <c r="E351" i="3"/>
  <c r="K308" i="3"/>
  <c r="J351" i="3"/>
  <c r="H283" i="3"/>
  <c r="P317" i="3"/>
  <c r="Q317" i="3" s="1"/>
  <c r="P310" i="3"/>
  <c r="Q310" i="3" s="1"/>
  <c r="P319" i="3"/>
  <c r="Q319" i="3" s="1"/>
  <c r="P315" i="3"/>
  <c r="Q315" i="3" s="1"/>
  <c r="P328" i="3"/>
  <c r="Q328" i="3" s="1"/>
  <c r="J153" i="3"/>
  <c r="J159" i="3"/>
  <c r="P313" i="3"/>
  <c r="Q313" i="3" s="1"/>
  <c r="P309" i="3"/>
  <c r="Q309" i="3" s="1"/>
  <c r="P331" i="3"/>
  <c r="Q331" i="3" s="1"/>
  <c r="P308" i="3"/>
  <c r="P316" i="3"/>
  <c r="Q316" i="3" s="1"/>
  <c r="P330" i="3"/>
  <c r="Q330" i="3" s="1"/>
  <c r="P336" i="3"/>
  <c r="Q336" i="3" s="1"/>
  <c r="R336" i="3" s="1"/>
  <c r="I153" i="3"/>
  <c r="AN139" i="3"/>
  <c r="P134" i="3"/>
  <c r="P148" i="3"/>
  <c r="P143" i="3" s="1"/>
  <c r="P147" i="3"/>
  <c r="L153" i="3"/>
  <c r="Q153" i="3"/>
  <c r="K322" i="3"/>
  <c r="J354" i="3"/>
  <c r="F307" i="3"/>
  <c r="F297" i="3" s="1"/>
  <c r="F322" i="3"/>
  <c r="E354" i="3"/>
  <c r="K307" i="3"/>
  <c r="K297" i="3" s="1"/>
  <c r="P307" i="3"/>
  <c r="P297" i="3" s="1"/>
  <c r="P322" i="3"/>
  <c r="O354" i="3"/>
  <c r="S171" i="3"/>
  <c r="S172" i="3" s="1"/>
  <c r="P151" i="3"/>
  <c r="I335" i="3"/>
  <c r="O153" i="3"/>
  <c r="Q63" i="3"/>
  <c r="Q64" i="3" s="1"/>
  <c r="N153" i="3"/>
  <c r="S157" i="3"/>
  <c r="S156" i="3" s="1"/>
  <c r="K153" i="3"/>
  <c r="P153" i="3"/>
  <c r="O335" i="3"/>
  <c r="P329" i="3"/>
  <c r="H252" i="3"/>
  <c r="H262" i="3"/>
  <c r="H270" i="3" s="1"/>
  <c r="E284" i="3"/>
  <c r="J335" i="3"/>
  <c r="L333" i="3"/>
  <c r="M333" i="3" s="1"/>
  <c r="K327" i="3"/>
  <c r="K323" i="3"/>
  <c r="L323" i="3" s="1"/>
  <c r="M323" i="3" s="1"/>
  <c r="F323" i="3"/>
  <c r="G323" i="3" s="1"/>
  <c r="K311" i="3"/>
  <c r="L311" i="3" s="1"/>
  <c r="K312" i="3"/>
  <c r="L312" i="3" s="1"/>
  <c r="K317" i="3"/>
  <c r="L317" i="3" s="1"/>
  <c r="F311" i="3"/>
  <c r="G311" i="3" s="1"/>
  <c r="F312" i="3"/>
  <c r="G312" i="3" s="1"/>
  <c r="F313" i="3"/>
  <c r="G313" i="3" s="1"/>
  <c r="F317" i="3"/>
  <c r="G317" i="3" s="1"/>
  <c r="P138" i="3"/>
  <c r="O138" i="3"/>
  <c r="N138" i="3"/>
  <c r="P136" i="3"/>
  <c r="O136" i="3"/>
  <c r="N136" i="3"/>
  <c r="L138" i="3"/>
  <c r="K138" i="3"/>
  <c r="J138" i="3"/>
  <c r="I138" i="3"/>
  <c r="L136" i="3"/>
  <c r="K136" i="3"/>
  <c r="J136" i="3"/>
  <c r="I136" i="3"/>
  <c r="N58" i="3"/>
  <c r="P58" i="3"/>
  <c r="O58" i="3"/>
  <c r="L58" i="3"/>
  <c r="K58" i="3"/>
  <c r="J58" i="3"/>
  <c r="I58" i="3"/>
  <c r="O128" i="3"/>
  <c r="N128" i="3"/>
  <c r="L128" i="3"/>
  <c r="K128" i="3"/>
  <c r="J128" i="3"/>
  <c r="I128" i="3"/>
  <c r="P122" i="3"/>
  <c r="O122" i="3"/>
  <c r="N122" i="3"/>
  <c r="L122" i="3"/>
  <c r="K122" i="3"/>
  <c r="J122" i="3"/>
  <c r="I122" i="3"/>
  <c r="P116" i="3"/>
  <c r="O116" i="3"/>
  <c r="N116" i="3"/>
  <c r="L116" i="3"/>
  <c r="K116" i="3"/>
  <c r="J116" i="3"/>
  <c r="I116" i="3"/>
  <c r="P110" i="3"/>
  <c r="O110" i="3"/>
  <c r="N110" i="3"/>
  <c r="L110" i="3"/>
  <c r="K110" i="3"/>
  <c r="J110" i="3"/>
  <c r="I110" i="3"/>
  <c r="P104" i="3"/>
  <c r="O104" i="3"/>
  <c r="N104" i="3"/>
  <c r="L104" i="3"/>
  <c r="K104" i="3"/>
  <c r="J104" i="3"/>
  <c r="I104" i="3"/>
  <c r="P98" i="3"/>
  <c r="O98" i="3"/>
  <c r="N98" i="3"/>
  <c r="L98" i="3"/>
  <c r="K98" i="3"/>
  <c r="J98" i="3"/>
  <c r="I98" i="3"/>
  <c r="P92" i="3"/>
  <c r="O92" i="3"/>
  <c r="N92" i="3"/>
  <c r="L92" i="3"/>
  <c r="K92" i="3"/>
  <c r="J92" i="3"/>
  <c r="I92" i="3"/>
  <c r="P86" i="3"/>
  <c r="O86" i="3"/>
  <c r="N86" i="3"/>
  <c r="L86" i="3"/>
  <c r="K86" i="3"/>
  <c r="J86" i="3"/>
  <c r="I86" i="3"/>
  <c r="P130" i="3"/>
  <c r="O130" i="3"/>
  <c r="N130" i="3"/>
  <c r="L130" i="3"/>
  <c r="K130" i="3"/>
  <c r="J130" i="3"/>
  <c r="I130" i="3"/>
  <c r="P124" i="3"/>
  <c r="O124" i="3"/>
  <c r="N124" i="3"/>
  <c r="L124" i="3"/>
  <c r="K124" i="3"/>
  <c r="J124" i="3"/>
  <c r="I124" i="3"/>
  <c r="P118" i="3"/>
  <c r="O118" i="3"/>
  <c r="N118" i="3"/>
  <c r="L118" i="3"/>
  <c r="K118" i="3"/>
  <c r="J118" i="3"/>
  <c r="I118" i="3"/>
  <c r="P112" i="3"/>
  <c r="O112" i="3"/>
  <c r="N112" i="3"/>
  <c r="L112" i="3"/>
  <c r="K112" i="3"/>
  <c r="J112" i="3"/>
  <c r="I112" i="3"/>
  <c r="P106" i="3"/>
  <c r="O106" i="3"/>
  <c r="N106" i="3"/>
  <c r="L106" i="3"/>
  <c r="K106" i="3"/>
  <c r="J106" i="3"/>
  <c r="I106" i="3"/>
  <c r="P100" i="3"/>
  <c r="O100" i="3"/>
  <c r="N100" i="3"/>
  <c r="L100" i="3"/>
  <c r="K100" i="3"/>
  <c r="J100" i="3"/>
  <c r="I100" i="3"/>
  <c r="P94" i="3"/>
  <c r="O94" i="3"/>
  <c r="N94" i="3"/>
  <c r="L94" i="3"/>
  <c r="K94" i="3"/>
  <c r="J94" i="3"/>
  <c r="I94" i="3"/>
  <c r="P88" i="3"/>
  <c r="O88" i="3"/>
  <c r="N88" i="3"/>
  <c r="L88" i="3"/>
  <c r="K88" i="3"/>
  <c r="J88" i="3"/>
  <c r="I88" i="3"/>
  <c r="P82" i="3"/>
  <c r="O82" i="3"/>
  <c r="N82" i="3"/>
  <c r="L82" i="3"/>
  <c r="K82" i="3"/>
  <c r="J82" i="3"/>
  <c r="I82" i="3"/>
  <c r="P80" i="3"/>
  <c r="O80" i="3"/>
  <c r="N80" i="3"/>
  <c r="L80" i="3"/>
  <c r="K80" i="3"/>
  <c r="J80" i="3"/>
  <c r="I80" i="3"/>
  <c r="P74" i="3"/>
  <c r="L74" i="3"/>
  <c r="O74" i="3"/>
  <c r="N74" i="3"/>
  <c r="K74" i="3"/>
  <c r="J74" i="3"/>
  <c r="I74" i="3"/>
  <c r="I76" i="3"/>
  <c r="L76" i="3"/>
  <c r="K76" i="3"/>
  <c r="J76" i="3"/>
  <c r="N76" i="3"/>
  <c r="O76" i="3"/>
  <c r="P76" i="3"/>
  <c r="P72" i="3"/>
  <c r="O72" i="3"/>
  <c r="N72" i="3"/>
  <c r="P54" i="3"/>
  <c r="P55" i="3" s="1"/>
  <c r="O54" i="3"/>
  <c r="O55" i="3" s="1"/>
  <c r="N54" i="3"/>
  <c r="P51" i="3"/>
  <c r="O51" i="3"/>
  <c r="N52" i="3"/>
  <c r="I56" i="3"/>
  <c r="K72" i="3"/>
  <c r="I72" i="3"/>
  <c r="L55" i="3"/>
  <c r="K54" i="3"/>
  <c r="K55" i="3" s="1"/>
  <c r="J55" i="3"/>
  <c r="I54" i="3"/>
  <c r="I55" i="3" s="1"/>
  <c r="L52" i="3"/>
  <c r="K52" i="3"/>
  <c r="J52" i="3"/>
  <c r="I51" i="3"/>
  <c r="I52" i="3" s="1"/>
  <c r="G56" i="3"/>
  <c r="G72" i="3"/>
  <c r="E72" i="3"/>
  <c r="G54" i="3"/>
  <c r="G55" i="3" s="1"/>
  <c r="F54" i="3"/>
  <c r="F55" i="3" s="1"/>
  <c r="E54" i="3"/>
  <c r="E55" i="3" s="1"/>
  <c r="D54" i="3"/>
  <c r="D55" i="3" s="1"/>
  <c r="G51" i="3"/>
  <c r="G52" i="3" s="1"/>
  <c r="F51" i="3"/>
  <c r="F52" i="3" s="1"/>
  <c r="E51" i="3"/>
  <c r="E52" i="3" s="1"/>
  <c r="D51" i="3"/>
  <c r="D52" i="3" s="1"/>
  <c r="O52" i="3" l="1"/>
  <c r="S58" i="3"/>
  <c r="T58" i="3" s="1"/>
  <c r="U58" i="3" s="1"/>
  <c r="V58" i="3" s="1"/>
  <c r="P52" i="3"/>
  <c r="N55" i="3"/>
  <c r="S81" i="3"/>
  <c r="S75" i="3"/>
  <c r="S74" i="3"/>
  <c r="AM278" i="3"/>
  <c r="AL281" i="3"/>
  <c r="Q308" i="3"/>
  <c r="Q351" i="3" s="1"/>
  <c r="P351" i="3"/>
  <c r="L308" i="3"/>
  <c r="L351" i="3" s="1"/>
  <c r="K351" i="3"/>
  <c r="G308" i="3"/>
  <c r="G351" i="3" s="1"/>
  <c r="F351" i="3"/>
  <c r="R330" i="3"/>
  <c r="R309" i="3"/>
  <c r="R315" i="3"/>
  <c r="R317" i="3"/>
  <c r="R316" i="3"/>
  <c r="R331" i="3"/>
  <c r="R313" i="3"/>
  <c r="R328" i="3"/>
  <c r="P354" i="3"/>
  <c r="Q322" i="3"/>
  <c r="P149" i="3"/>
  <c r="R319" i="3"/>
  <c r="Q307" i="3"/>
  <c r="P335" i="3"/>
  <c r="Q329" i="3"/>
  <c r="R329" i="3" s="1"/>
  <c r="R310" i="3"/>
  <c r="AP139" i="3"/>
  <c r="AO139" i="3"/>
  <c r="K165" i="3"/>
  <c r="K160" i="3" s="1"/>
  <c r="K151" i="3"/>
  <c r="O148" i="3"/>
  <c r="O143" i="3" s="1"/>
  <c r="O147" i="3"/>
  <c r="O134" i="3"/>
  <c r="N147" i="3"/>
  <c r="N148" i="3"/>
  <c r="N143" i="3" s="1"/>
  <c r="N134" i="3"/>
  <c r="L148" i="3"/>
  <c r="L143" i="3" s="1"/>
  <c r="L134" i="3"/>
  <c r="L147" i="3"/>
  <c r="K148" i="3"/>
  <c r="K143" i="3" s="1"/>
  <c r="K134" i="3"/>
  <c r="K147" i="3"/>
  <c r="J147" i="3"/>
  <c r="J134" i="3"/>
  <c r="J148" i="3"/>
  <c r="J143" i="3" s="1"/>
  <c r="I147" i="3"/>
  <c r="I134" i="3"/>
  <c r="I148" i="3"/>
  <c r="I143" i="3" s="1"/>
  <c r="G147" i="3"/>
  <c r="G134" i="3"/>
  <c r="G148" i="3"/>
  <c r="F148" i="3"/>
  <c r="F134" i="3"/>
  <c r="F147" i="3"/>
  <c r="E148" i="3"/>
  <c r="E134" i="3"/>
  <c r="E147" i="3"/>
  <c r="O56" i="3"/>
  <c r="D72" i="3"/>
  <c r="D53" i="3"/>
  <c r="L307" i="3"/>
  <c r="L297" i="3" s="1"/>
  <c r="G307" i="3"/>
  <c r="G297" i="3" s="1"/>
  <c r="G322" i="3"/>
  <c r="G354" i="3" s="1"/>
  <c r="F354" i="3"/>
  <c r="L322" i="3"/>
  <c r="L354" i="3" s="1"/>
  <c r="K354" i="3"/>
  <c r="T171" i="3"/>
  <c r="T172" i="3" s="1"/>
  <c r="P164" i="3"/>
  <c r="P165" i="3"/>
  <c r="P160" i="3" s="1"/>
  <c r="S153" i="3"/>
  <c r="K164" i="3"/>
  <c r="S155" i="3"/>
  <c r="S169" i="3"/>
  <c r="S168" i="3" s="1"/>
  <c r="T157" i="3"/>
  <c r="T156" i="3" s="1"/>
  <c r="L53" i="3"/>
  <c r="L72" i="3"/>
  <c r="J56" i="3"/>
  <c r="E56" i="3"/>
  <c r="J53" i="3"/>
  <c r="J72" i="3"/>
  <c r="H284" i="3"/>
  <c r="L327" i="3"/>
  <c r="L335" i="3" s="1"/>
  <c r="K335" i="3"/>
  <c r="H333" i="3"/>
  <c r="H318" i="3"/>
  <c r="M324" i="3"/>
  <c r="M334" i="3"/>
  <c r="H332" i="3"/>
  <c r="M328" i="3"/>
  <c r="H330" i="3"/>
  <c r="M336" i="3"/>
  <c r="H336" i="3"/>
  <c r="M331" i="3"/>
  <c r="M329" i="3"/>
  <c r="M332" i="3"/>
  <c r="M330" i="3"/>
  <c r="H329" i="3"/>
  <c r="H328" i="3"/>
  <c r="H334" i="3"/>
  <c r="H331" i="3"/>
  <c r="H324" i="3"/>
  <c r="H323" i="3"/>
  <c r="M315" i="3"/>
  <c r="M309" i="3"/>
  <c r="M311" i="3"/>
  <c r="M310" i="3"/>
  <c r="M316" i="3"/>
  <c r="M317" i="3"/>
  <c r="M312" i="3"/>
  <c r="M319" i="3"/>
  <c r="M318" i="3"/>
  <c r="M313" i="3"/>
  <c r="H309" i="3"/>
  <c r="H311" i="3"/>
  <c r="H310" i="3"/>
  <c r="H316" i="3"/>
  <c r="H317" i="3"/>
  <c r="H312" i="3"/>
  <c r="H319" i="3"/>
  <c r="H313" i="3"/>
  <c r="L56" i="3"/>
  <c r="N53" i="3"/>
  <c r="S137" i="3"/>
  <c r="O53" i="3"/>
  <c r="N56" i="3"/>
  <c r="P53" i="3"/>
  <c r="P56" i="3"/>
  <c r="I53" i="3"/>
  <c r="G53" i="3"/>
  <c r="F56" i="3"/>
  <c r="D56" i="3"/>
  <c r="K56" i="3"/>
  <c r="E53" i="3"/>
  <c r="K53" i="3"/>
  <c r="F53" i="3"/>
  <c r="N46" i="3"/>
  <c r="O46" i="3"/>
  <c r="P46" i="3"/>
  <c r="K46" i="3"/>
  <c r="J46" i="3"/>
  <c r="I46" i="3"/>
  <c r="M45" i="3"/>
  <c r="H45" i="3"/>
  <c r="H46" i="3" s="1"/>
  <c r="M36" i="3"/>
  <c r="H36" i="3"/>
  <c r="W32" i="3"/>
  <c r="M32" i="3"/>
  <c r="M33" i="3" s="1"/>
  <c r="H32" i="3"/>
  <c r="H33" i="3" s="1"/>
  <c r="W22" i="3"/>
  <c r="R22" i="3"/>
  <c r="M23" i="3"/>
  <c r="M22" i="3"/>
  <c r="M21" i="3"/>
  <c r="M20" i="3"/>
  <c r="M19" i="3"/>
  <c r="M18" i="3"/>
  <c r="M17" i="3"/>
  <c r="M16" i="3"/>
  <c r="M15" i="3"/>
  <c r="M13" i="3"/>
  <c r="H23" i="3"/>
  <c r="H22" i="3"/>
  <c r="H21" i="3"/>
  <c r="H20" i="3"/>
  <c r="H19" i="3"/>
  <c r="H18" i="3"/>
  <c r="H17" i="3"/>
  <c r="H16" i="3"/>
  <c r="H15" i="3"/>
  <c r="D24" i="3"/>
  <c r="D177" i="3" s="1"/>
  <c r="D182" i="3" s="1"/>
  <c r="E24" i="3"/>
  <c r="E177" i="3" s="1"/>
  <c r="E182" i="3" s="1"/>
  <c r="F24" i="3"/>
  <c r="G24" i="3"/>
  <c r="I24" i="3"/>
  <c r="J24" i="3"/>
  <c r="K24" i="3"/>
  <c r="L24" i="3"/>
  <c r="N24" i="3"/>
  <c r="O24" i="3"/>
  <c r="S93" i="3" l="1"/>
  <c r="H322" i="3"/>
  <c r="R308" i="3"/>
  <c r="AQ253" i="3"/>
  <c r="AQ324" i="3"/>
  <c r="H308" i="3"/>
  <c r="AN278" i="3"/>
  <c r="AM281" i="3"/>
  <c r="M308" i="3"/>
  <c r="R307" i="3"/>
  <c r="Q297" i="3"/>
  <c r="M307" i="3"/>
  <c r="O179" i="3"/>
  <c r="J179" i="3"/>
  <c r="F179" i="3"/>
  <c r="K179" i="3"/>
  <c r="M322" i="3"/>
  <c r="M354" i="3" s="1"/>
  <c r="P179" i="3"/>
  <c r="G149" i="3"/>
  <c r="G143" i="3"/>
  <c r="N149" i="3"/>
  <c r="O149" i="3"/>
  <c r="E179" i="3"/>
  <c r="G179" i="3"/>
  <c r="N179" i="3"/>
  <c r="J149" i="3"/>
  <c r="L149" i="3"/>
  <c r="E149" i="3"/>
  <c r="E143" i="3"/>
  <c r="I179" i="3"/>
  <c r="L179" i="3"/>
  <c r="D179" i="3"/>
  <c r="F149" i="3"/>
  <c r="F143" i="3"/>
  <c r="I149" i="3"/>
  <c r="K149" i="3"/>
  <c r="K166" i="3"/>
  <c r="S111" i="3"/>
  <c r="O165" i="3"/>
  <c r="O160" i="3" s="1"/>
  <c r="O151" i="3"/>
  <c r="N165" i="3"/>
  <c r="N160" i="3" s="1"/>
  <c r="N151" i="3"/>
  <c r="I165" i="3"/>
  <c r="I160" i="3" s="1"/>
  <c r="I151" i="3"/>
  <c r="E165" i="3"/>
  <c r="E160" i="3" s="1"/>
  <c r="H307" i="3"/>
  <c r="M218" i="3"/>
  <c r="M220" i="3"/>
  <c r="M219" i="3"/>
  <c r="L25" i="3"/>
  <c r="L177" i="3"/>
  <c r="L182" i="3" s="1"/>
  <c r="Q181" i="3"/>
  <c r="O25" i="3"/>
  <c r="O177" i="3"/>
  <c r="O182" i="3" s="1"/>
  <c r="J25" i="3"/>
  <c r="J177" i="3"/>
  <c r="J182" i="3" s="1"/>
  <c r="N25" i="3"/>
  <c r="N177" i="3"/>
  <c r="N182" i="3" s="1"/>
  <c r="I25" i="3"/>
  <c r="I177" i="3"/>
  <c r="I182" i="3" s="1"/>
  <c r="G25" i="3"/>
  <c r="G217" i="3" s="1"/>
  <c r="G177" i="3"/>
  <c r="G182" i="3" s="1"/>
  <c r="K25" i="3"/>
  <c r="K177" i="3"/>
  <c r="K182" i="3" s="1"/>
  <c r="F25" i="3"/>
  <c r="F177" i="3"/>
  <c r="F182" i="3" s="1"/>
  <c r="D25" i="3"/>
  <c r="R19" i="3"/>
  <c r="U171" i="3"/>
  <c r="U172" i="3" s="1"/>
  <c r="P68" i="3"/>
  <c r="S154" i="3"/>
  <c r="T155" i="3"/>
  <c r="P166" i="3"/>
  <c r="I164" i="3"/>
  <c r="U157" i="3"/>
  <c r="V157" i="3" s="1"/>
  <c r="O164" i="3"/>
  <c r="E164" i="3"/>
  <c r="T169" i="3"/>
  <c r="K69" i="3"/>
  <c r="K68" i="3"/>
  <c r="E68" i="3"/>
  <c r="E69" i="3"/>
  <c r="P69" i="3"/>
  <c r="P183" i="3" s="1"/>
  <c r="S152" i="3"/>
  <c r="T153" i="3"/>
  <c r="D68" i="3"/>
  <c r="D69" i="3"/>
  <c r="G69" i="3"/>
  <c r="G68" i="3"/>
  <c r="O68" i="3"/>
  <c r="O69" i="3"/>
  <c r="N68" i="3"/>
  <c r="N69" i="3"/>
  <c r="F69" i="3"/>
  <c r="F68" i="3"/>
  <c r="I68" i="3"/>
  <c r="I69" i="3"/>
  <c r="J69" i="3"/>
  <c r="J68" i="3"/>
  <c r="L69" i="3"/>
  <c r="L68" i="3"/>
  <c r="S73" i="3"/>
  <c r="M327" i="3"/>
  <c r="M335" i="3" s="1"/>
  <c r="T57" i="3"/>
  <c r="Y57" i="3" s="1"/>
  <c r="S57" i="3"/>
  <c r="X57" i="3" s="1"/>
  <c r="Q134" i="3"/>
  <c r="S129" i="3"/>
  <c r="S87" i="3"/>
  <c r="U57" i="3"/>
  <c r="M46" i="3"/>
  <c r="P34" i="3"/>
  <c r="P221" i="3" s="1"/>
  <c r="M24" i="3"/>
  <c r="M25" i="3" s="1"/>
  <c r="H24" i="3"/>
  <c r="S159" i="3" l="1"/>
  <c r="D27" i="3"/>
  <c r="D39" i="3" s="1"/>
  <c r="D44" i="3" s="1"/>
  <c r="D217" i="3"/>
  <c r="K27" i="3"/>
  <c r="K39" i="3" s="1"/>
  <c r="K44" i="3" s="1"/>
  <c r="K217" i="3"/>
  <c r="I27" i="3"/>
  <c r="I39" i="3" s="1"/>
  <c r="I44" i="3" s="1"/>
  <c r="I217" i="3"/>
  <c r="J27" i="3"/>
  <c r="J39" i="3" s="1"/>
  <c r="J44" i="3" s="1"/>
  <c r="J217" i="3"/>
  <c r="L27" i="3"/>
  <c r="L39" i="3" s="1"/>
  <c r="L44" i="3" s="1"/>
  <c r="L217" i="3"/>
  <c r="M27" i="3"/>
  <c r="M39" i="3" s="1"/>
  <c r="M44" i="3" s="1"/>
  <c r="M217" i="3"/>
  <c r="F27" i="3"/>
  <c r="F217" i="3"/>
  <c r="N27" i="3"/>
  <c r="N39" i="3" s="1"/>
  <c r="N44" i="3" s="1"/>
  <c r="N217" i="3"/>
  <c r="O27" i="3"/>
  <c r="O39" i="3" s="1"/>
  <c r="O44" i="3" s="1"/>
  <c r="O217" i="3"/>
  <c r="M69" i="3"/>
  <c r="AQ264" i="3"/>
  <c r="AQ310" i="3"/>
  <c r="AO278" i="3"/>
  <c r="AN281" i="3"/>
  <c r="E166" i="3"/>
  <c r="G34" i="3"/>
  <c r="G27" i="3"/>
  <c r="G39" i="3" s="1"/>
  <c r="G44" i="3" s="1"/>
  <c r="I183" i="3"/>
  <c r="S77" i="3"/>
  <c r="O166" i="3"/>
  <c r="N166" i="3"/>
  <c r="I166" i="3"/>
  <c r="T111" i="3"/>
  <c r="L165" i="3"/>
  <c r="L160" i="3" s="1"/>
  <c r="L151" i="3"/>
  <c r="J165" i="3"/>
  <c r="J160" i="3" s="1"/>
  <c r="J151" i="3"/>
  <c r="G165" i="3"/>
  <c r="G166" i="3" s="1"/>
  <c r="G151" i="3"/>
  <c r="F165" i="3"/>
  <c r="F183" i="3" s="1"/>
  <c r="F151" i="3"/>
  <c r="D165" i="3"/>
  <c r="D166" i="3" s="1"/>
  <c r="D151" i="3"/>
  <c r="V57" i="3"/>
  <c r="O34" i="3"/>
  <c r="O221" i="3" s="1"/>
  <c r="O183" i="3"/>
  <c r="K34" i="3"/>
  <c r="K37" i="3" s="1"/>
  <c r="K183" i="3"/>
  <c r="N183" i="3"/>
  <c r="J34" i="3"/>
  <c r="J221" i="3" s="1"/>
  <c r="I34" i="3"/>
  <c r="I37" i="3" s="1"/>
  <c r="L34" i="3"/>
  <c r="L37" i="3" s="1"/>
  <c r="P37" i="3"/>
  <c r="D34" i="3"/>
  <c r="N34" i="3"/>
  <c r="F34" i="3"/>
  <c r="U156" i="3"/>
  <c r="V171" i="3"/>
  <c r="V172" i="3" s="1"/>
  <c r="F70" i="3"/>
  <c r="O70" i="3"/>
  <c r="L70" i="3"/>
  <c r="D70" i="3"/>
  <c r="P70" i="3"/>
  <c r="K70" i="3"/>
  <c r="I70" i="3"/>
  <c r="G70" i="3"/>
  <c r="J70" i="3"/>
  <c r="N70" i="3"/>
  <c r="E70" i="3"/>
  <c r="J164" i="3"/>
  <c r="L164" i="3"/>
  <c r="D164" i="3"/>
  <c r="U155" i="3"/>
  <c r="T154" i="3"/>
  <c r="F164" i="3"/>
  <c r="G164" i="3"/>
  <c r="T168" i="3"/>
  <c r="U169" i="3"/>
  <c r="T152" i="3"/>
  <c r="T159" i="3" s="1"/>
  <c r="U153" i="3"/>
  <c r="V156" i="3"/>
  <c r="T74" i="3"/>
  <c r="U74" i="3" s="1"/>
  <c r="S127" i="3"/>
  <c r="S132" i="3" s="1"/>
  <c r="S103" i="3"/>
  <c r="S135" i="3"/>
  <c r="S123" i="3"/>
  <c r="S121" i="3"/>
  <c r="T87" i="3"/>
  <c r="S115" i="3"/>
  <c r="Q52" i="3"/>
  <c r="S85" i="3"/>
  <c r="S89" i="3" s="1"/>
  <c r="T137" i="3"/>
  <c r="T129" i="3"/>
  <c r="S91" i="3"/>
  <c r="S117" i="3"/>
  <c r="S105" i="3"/>
  <c r="Q54" i="3"/>
  <c r="T127" i="3"/>
  <c r="S79" i="3"/>
  <c r="S83" i="3" s="1"/>
  <c r="T103" i="3"/>
  <c r="T135" i="3"/>
  <c r="S97" i="3"/>
  <c r="S109" i="3"/>
  <c r="S113" i="3" s="1"/>
  <c r="S99" i="3"/>
  <c r="Z57" i="3"/>
  <c r="M34" i="3"/>
  <c r="F39" i="3" l="1"/>
  <c r="F44" i="3" s="1"/>
  <c r="S142" i="3"/>
  <c r="Q55" i="3"/>
  <c r="AO281" i="3"/>
  <c r="AP278" i="3"/>
  <c r="S125" i="3"/>
  <c r="T142" i="3"/>
  <c r="S101" i="3"/>
  <c r="S95" i="3"/>
  <c r="L166" i="3"/>
  <c r="J183" i="3"/>
  <c r="G183" i="3"/>
  <c r="G160" i="3"/>
  <c r="F166" i="3"/>
  <c r="F160" i="3"/>
  <c r="D183" i="3"/>
  <c r="D160" i="3"/>
  <c r="T132" i="3"/>
  <c r="J37" i="3"/>
  <c r="S107" i="3"/>
  <c r="I221" i="3"/>
  <c r="L183" i="3"/>
  <c r="U111" i="3"/>
  <c r="S119" i="3"/>
  <c r="J166" i="3"/>
  <c r="O37" i="3"/>
  <c r="K221" i="3"/>
  <c r="L221" i="3"/>
  <c r="D37" i="3"/>
  <c r="D221" i="3"/>
  <c r="N37" i="3"/>
  <c r="N221" i="3"/>
  <c r="G37" i="3"/>
  <c r="G221" i="3"/>
  <c r="F37" i="3"/>
  <c r="F221" i="3"/>
  <c r="M37" i="3"/>
  <c r="M221" i="3"/>
  <c r="X172" i="3"/>
  <c r="U154" i="3"/>
  <c r="V155" i="3"/>
  <c r="T73" i="3"/>
  <c r="V169" i="3"/>
  <c r="U168" i="3"/>
  <c r="X156" i="3"/>
  <c r="U152" i="3"/>
  <c r="U159" i="3" s="1"/>
  <c r="V153" i="3"/>
  <c r="T75" i="3"/>
  <c r="T85" i="3"/>
  <c r="T89" i="3" s="1"/>
  <c r="T99" i="3"/>
  <c r="T97" i="3"/>
  <c r="U135" i="3"/>
  <c r="T117" i="3"/>
  <c r="T81" i="3"/>
  <c r="T123" i="3"/>
  <c r="U127" i="3"/>
  <c r="S51" i="3"/>
  <c r="U137" i="3"/>
  <c r="T115" i="3"/>
  <c r="S54" i="3"/>
  <c r="S55" i="3" s="1"/>
  <c r="T79" i="3"/>
  <c r="T93" i="3"/>
  <c r="U129" i="3"/>
  <c r="T109" i="3"/>
  <c r="T113" i="3" s="1"/>
  <c r="U73" i="3"/>
  <c r="V74" i="3"/>
  <c r="U103" i="3"/>
  <c r="Q56" i="3"/>
  <c r="T105" i="3"/>
  <c r="T107" i="3" s="1"/>
  <c r="T91" i="3"/>
  <c r="U87" i="3"/>
  <c r="T121" i="3"/>
  <c r="U75" i="3"/>
  <c r="Q53" i="3"/>
  <c r="AA57" i="3"/>
  <c r="P293" i="3"/>
  <c r="T83" i="3" l="1"/>
  <c r="U293" i="3"/>
  <c r="Z293" i="3" s="1"/>
  <c r="S52" i="3"/>
  <c r="AQ278" i="3"/>
  <c r="AQ281" i="3" s="1"/>
  <c r="AP281" i="3"/>
  <c r="T125" i="3"/>
  <c r="T95" i="3"/>
  <c r="T119" i="3"/>
  <c r="U142" i="3"/>
  <c r="U77" i="3"/>
  <c r="T77" i="3"/>
  <c r="V111" i="3"/>
  <c r="T101" i="3"/>
  <c r="U132" i="3"/>
  <c r="Q151" i="3"/>
  <c r="Q13" i="3"/>
  <c r="Q289" i="3" s="1"/>
  <c r="V289" i="3" s="1"/>
  <c r="AA289" i="3" s="1"/>
  <c r="Q68" i="3"/>
  <c r="Y172" i="3"/>
  <c r="V168" i="3"/>
  <c r="V154" i="3"/>
  <c r="Q165" i="3"/>
  <c r="Q160" i="3" s="1"/>
  <c r="S163" i="3"/>
  <c r="V152" i="3"/>
  <c r="V159" i="3" s="1"/>
  <c r="Y156" i="3"/>
  <c r="S53" i="3"/>
  <c r="U93" i="3"/>
  <c r="U123" i="3"/>
  <c r="U121" i="3"/>
  <c r="U105" i="3"/>
  <c r="U107" i="3" s="1"/>
  <c r="T54" i="3"/>
  <c r="T55" i="3" s="1"/>
  <c r="V129" i="3"/>
  <c r="T51" i="3"/>
  <c r="U115" i="3"/>
  <c r="U117" i="3"/>
  <c r="U97" i="3"/>
  <c r="U85" i="3"/>
  <c r="U89" i="3" s="1"/>
  <c r="V103" i="3"/>
  <c r="U109" i="3"/>
  <c r="U113" i="3" s="1"/>
  <c r="U79" i="3"/>
  <c r="V137" i="3"/>
  <c r="V127" i="3"/>
  <c r="U81" i="3"/>
  <c r="V75" i="3"/>
  <c r="V87" i="3"/>
  <c r="U91" i="3"/>
  <c r="V73" i="3"/>
  <c r="S56" i="3"/>
  <c r="V135" i="3"/>
  <c r="U99" i="3"/>
  <c r="AC57" i="3"/>
  <c r="O293" i="3"/>
  <c r="T293" i="3" s="1"/>
  <c r="O290" i="3"/>
  <c r="P352" i="3"/>
  <c r="O216" i="3"/>
  <c r="N216" i="3"/>
  <c r="L216" i="3"/>
  <c r="K216" i="3"/>
  <c r="I216" i="3"/>
  <c r="R269" i="3"/>
  <c r="N352" i="3"/>
  <c r="I352" i="3"/>
  <c r="N293" i="3"/>
  <c r="S293" i="3" s="1"/>
  <c r="N290" i="3"/>
  <c r="L293" i="3"/>
  <c r="L289" i="3"/>
  <c r="K293" i="3"/>
  <c r="K294" i="3" s="1"/>
  <c r="K289" i="3"/>
  <c r="K290" i="3" s="1"/>
  <c r="K229" i="3"/>
  <c r="I229" i="3"/>
  <c r="I225" i="3" s="1"/>
  <c r="J293" i="3"/>
  <c r="J294" i="3" s="1"/>
  <c r="J289" i="3"/>
  <c r="J290" i="3" s="1"/>
  <c r="I294" i="3"/>
  <c r="P294" i="3"/>
  <c r="G289" i="3"/>
  <c r="G290" i="3" s="1"/>
  <c r="N225" i="3"/>
  <c r="F289" i="3"/>
  <c r="F290" i="3" s="1"/>
  <c r="F229" i="3"/>
  <c r="D290" i="3"/>
  <c r="E272" i="3"/>
  <c r="F272" i="3" s="1"/>
  <c r="G272" i="3" s="1"/>
  <c r="J229" i="3"/>
  <c r="J226" i="3" s="1"/>
  <c r="D229" i="3"/>
  <c r="E229" i="3"/>
  <c r="E225" i="3" s="1"/>
  <c r="J247" i="3"/>
  <c r="K247" i="3" s="1"/>
  <c r="L247" i="3" s="1"/>
  <c r="M247" i="3" s="1"/>
  <c r="N247" i="3" s="1"/>
  <c r="R247" i="3" s="1"/>
  <c r="M254" i="3"/>
  <c r="M274" i="3"/>
  <c r="M261" i="3"/>
  <c r="M253" i="3"/>
  <c r="M263" i="3"/>
  <c r="M345" i="3" s="1"/>
  <c r="M248" i="3"/>
  <c r="D325" i="3"/>
  <c r="D270" i="3"/>
  <c r="M250" i="3"/>
  <c r="I325" i="3"/>
  <c r="M245" i="3"/>
  <c r="M260" i="3"/>
  <c r="N325" i="3"/>
  <c r="M276" i="3"/>
  <c r="P216" i="3"/>
  <c r="AE293" i="3" l="1"/>
  <c r="AE294" i="3" s="1"/>
  <c r="Z294" i="3"/>
  <c r="O294" i="3"/>
  <c r="Y293" i="3"/>
  <c r="T52" i="3"/>
  <c r="N294" i="3"/>
  <c r="X293" i="3"/>
  <c r="S63" i="3"/>
  <c r="S65" i="3" s="1"/>
  <c r="S19" i="3" s="1"/>
  <c r="AA290" i="3"/>
  <c r="AF289" i="3"/>
  <c r="U95" i="3"/>
  <c r="Q179" i="3"/>
  <c r="Q296" i="3"/>
  <c r="V296" i="3" s="1"/>
  <c r="AA296" i="3" s="1"/>
  <c r="AF296" i="3" s="1"/>
  <c r="AK296" i="3" s="1"/>
  <c r="AP296" i="3" s="1"/>
  <c r="Q295" i="3"/>
  <c r="V295" i="3" s="1"/>
  <c r="AA295" i="3" s="1"/>
  <c r="AF295" i="3" s="1"/>
  <c r="AK295" i="3" s="1"/>
  <c r="AP295" i="3" s="1"/>
  <c r="Q290" i="3"/>
  <c r="Q352" i="3"/>
  <c r="Q354" i="3"/>
  <c r="M252" i="3"/>
  <c r="N297" i="3"/>
  <c r="M223" i="3"/>
  <c r="F225" i="3"/>
  <c r="G229" i="3"/>
  <c r="G227" i="3" s="1"/>
  <c r="D226" i="3"/>
  <c r="D225" i="3"/>
  <c r="V77" i="3"/>
  <c r="M283" i="3"/>
  <c r="Q166" i="3"/>
  <c r="V142" i="3"/>
  <c r="V132" i="3"/>
  <c r="U83" i="3"/>
  <c r="U101" i="3"/>
  <c r="U119" i="3"/>
  <c r="U125" i="3"/>
  <c r="X111" i="3"/>
  <c r="S13" i="3"/>
  <c r="R266" i="3"/>
  <c r="R261" i="3"/>
  <c r="Q220" i="3"/>
  <c r="Z172" i="3"/>
  <c r="X168" i="3"/>
  <c r="Q69" i="3"/>
  <c r="R69" i="3" s="1"/>
  <c r="S67" i="3"/>
  <c r="T163" i="3"/>
  <c r="X154" i="3"/>
  <c r="Z156" i="3"/>
  <c r="X152" i="3"/>
  <c r="X159" i="3" s="1"/>
  <c r="H272" i="3"/>
  <c r="I272" i="3" s="1"/>
  <c r="J272" i="3" s="1"/>
  <c r="K272" i="3" s="1"/>
  <c r="L272" i="3" s="1"/>
  <c r="M272" i="3" s="1"/>
  <c r="N272" i="3" s="1"/>
  <c r="O272" i="3" s="1"/>
  <c r="P272" i="3" s="1"/>
  <c r="Q272" i="3" s="1"/>
  <c r="R254" i="3"/>
  <c r="R248" i="3"/>
  <c r="E327" i="3"/>
  <c r="U51" i="3"/>
  <c r="O270" i="3"/>
  <c r="O284" i="3" s="1"/>
  <c r="T53" i="3"/>
  <c r="V91" i="3"/>
  <c r="X127" i="3"/>
  <c r="X103" i="3"/>
  <c r="V117" i="3"/>
  <c r="O352" i="3"/>
  <c r="V99" i="3"/>
  <c r="V115" i="3"/>
  <c r="T56" i="3"/>
  <c r="V105" i="3"/>
  <c r="V107" i="3" s="1"/>
  <c r="X75" i="3"/>
  <c r="V79" i="3"/>
  <c r="V85" i="3"/>
  <c r="V89" i="3" s="1"/>
  <c r="X73" i="3"/>
  <c r="X87" i="3"/>
  <c r="V81" i="3"/>
  <c r="X137" i="3"/>
  <c r="V109" i="3"/>
  <c r="V113" i="3" s="1"/>
  <c r="V97" i="3"/>
  <c r="X129" i="3"/>
  <c r="U54" i="3"/>
  <c r="U55" i="3" s="1"/>
  <c r="V123" i="3"/>
  <c r="V93" i="3"/>
  <c r="X135" i="3"/>
  <c r="V121" i="3"/>
  <c r="AD57" i="3"/>
  <c r="N270" i="3"/>
  <c r="N284" i="3" s="1"/>
  <c r="L284" i="3"/>
  <c r="J270" i="3"/>
  <c r="J284" i="3" s="1"/>
  <c r="R323" i="3"/>
  <c r="G270" i="3"/>
  <c r="G284" i="3" s="1"/>
  <c r="J325" i="3"/>
  <c r="F226" i="3"/>
  <c r="F270" i="3"/>
  <c r="F284" i="3" s="1"/>
  <c r="K270" i="3"/>
  <c r="K284" i="3" s="1"/>
  <c r="E325" i="3"/>
  <c r="R324" i="3"/>
  <c r="I226" i="3"/>
  <c r="H13" i="3"/>
  <c r="H354" i="3" s="1"/>
  <c r="E25" i="3"/>
  <c r="E217" i="3" s="1"/>
  <c r="O325" i="3"/>
  <c r="I270" i="3"/>
  <c r="I284" i="3" s="1"/>
  <c r="L42" i="3"/>
  <c r="D284" i="3"/>
  <c r="E226" i="3"/>
  <c r="T269" i="3"/>
  <c r="N35" i="3"/>
  <c r="L352" i="3"/>
  <c r="L290" i="3"/>
  <c r="J352" i="3"/>
  <c r="J225" i="3"/>
  <c r="O35" i="3"/>
  <c r="K226" i="3"/>
  <c r="K225" i="3"/>
  <c r="L294" i="3"/>
  <c r="N226" i="3"/>
  <c r="P226" i="3"/>
  <c r="P225" i="3"/>
  <c r="E290" i="3"/>
  <c r="E352" i="3"/>
  <c r="J216" i="3"/>
  <c r="AJ293" i="3" l="1"/>
  <c r="AJ294" i="3" s="1"/>
  <c r="S266" i="3"/>
  <c r="S261" i="3"/>
  <c r="Y294" i="3"/>
  <c r="AD293" i="3"/>
  <c r="AF290" i="3"/>
  <c r="AK289" i="3"/>
  <c r="U269" i="3"/>
  <c r="T63" i="3"/>
  <c r="T65" i="3" s="1"/>
  <c r="T19" i="3" s="1"/>
  <c r="T181" i="3" s="1"/>
  <c r="U52" i="3"/>
  <c r="S181" i="3"/>
  <c r="X294" i="3"/>
  <c r="AC293" i="3"/>
  <c r="W254" i="3"/>
  <c r="S179" i="3"/>
  <c r="E183" i="3"/>
  <c r="E27" i="3"/>
  <c r="E39" i="3" s="1"/>
  <c r="E44" i="3" s="1"/>
  <c r="G226" i="3"/>
  <c r="G225" i="3"/>
  <c r="V119" i="3"/>
  <c r="V125" i="3"/>
  <c r="V101" i="3"/>
  <c r="V95" i="3"/>
  <c r="V83" i="3"/>
  <c r="X142" i="3"/>
  <c r="X77" i="3"/>
  <c r="X132" i="3"/>
  <c r="Y111" i="3"/>
  <c r="T13" i="3"/>
  <c r="S220" i="3"/>
  <c r="S245" i="3"/>
  <c r="H25" i="3"/>
  <c r="H217" i="3" s="1"/>
  <c r="H216" i="3"/>
  <c r="H218" i="3"/>
  <c r="H220" i="3"/>
  <c r="H219" i="3"/>
  <c r="AA172" i="3"/>
  <c r="Q70" i="3"/>
  <c r="Y168" i="3"/>
  <c r="E34" i="3"/>
  <c r="Y154" i="3"/>
  <c r="U163" i="3"/>
  <c r="T67" i="3"/>
  <c r="AA156" i="3"/>
  <c r="Y152" i="3"/>
  <c r="Y159" i="3" s="1"/>
  <c r="R272" i="3"/>
  <c r="S272" i="3" s="1"/>
  <c r="T272" i="3" s="1"/>
  <c r="U272" i="3" s="1"/>
  <c r="V272" i="3" s="1"/>
  <c r="W272" i="3" s="1"/>
  <c r="X272" i="3" s="1"/>
  <c r="Y272" i="3" s="1"/>
  <c r="Z272" i="3" s="1"/>
  <c r="AA272" i="3" s="1"/>
  <c r="AB272" i="3" s="1"/>
  <c r="AC272" i="3" s="1"/>
  <c r="AD272" i="3" s="1"/>
  <c r="AE272" i="3" s="1"/>
  <c r="AF272" i="3" s="1"/>
  <c r="AG272" i="3" s="1"/>
  <c r="AH272" i="3" s="1"/>
  <c r="AI272" i="3" s="1"/>
  <c r="AJ272" i="3" s="1"/>
  <c r="AK272" i="3" s="1"/>
  <c r="AL272" i="3" s="1"/>
  <c r="AM272" i="3" s="1"/>
  <c r="AN272" i="3" s="1"/>
  <c r="AO272" i="3" s="1"/>
  <c r="AP272" i="3" s="1"/>
  <c r="AQ272" i="3" s="1"/>
  <c r="M262" i="3"/>
  <c r="M270" i="3" s="1"/>
  <c r="M284" i="3" s="1"/>
  <c r="F327" i="3"/>
  <c r="E335" i="3"/>
  <c r="U53" i="3"/>
  <c r="Y87" i="3"/>
  <c r="Y75" i="3"/>
  <c r="Y135" i="3"/>
  <c r="X123" i="3"/>
  <c r="V54" i="3"/>
  <c r="V55" i="3" s="1"/>
  <c r="Y73" i="3"/>
  <c r="X85" i="3"/>
  <c r="X89" i="3" s="1"/>
  <c r="X115" i="3"/>
  <c r="V51" i="3"/>
  <c r="X99" i="3"/>
  <c r="X117" i="3"/>
  <c r="Y127" i="3"/>
  <c r="X97" i="3"/>
  <c r="X121" i="3"/>
  <c r="Y129" i="3"/>
  <c r="X109" i="3"/>
  <c r="X113" i="3" s="1"/>
  <c r="X81" i="3"/>
  <c r="X105" i="3"/>
  <c r="X107" i="3" s="1"/>
  <c r="U56" i="3"/>
  <c r="Y137" i="3"/>
  <c r="X93" i="3"/>
  <c r="X79" i="3"/>
  <c r="Y103" i="3"/>
  <c r="X91" i="3"/>
  <c r="AE57" i="3"/>
  <c r="L43" i="3"/>
  <c r="L306" i="3"/>
  <c r="L320" i="3" s="1"/>
  <c r="P35" i="3"/>
  <c r="D35" i="3"/>
  <c r="F325" i="3"/>
  <c r="I35" i="3"/>
  <c r="G325" i="3"/>
  <c r="J35" i="3"/>
  <c r="K352" i="3"/>
  <c r="F43" i="3"/>
  <c r="F306" i="3"/>
  <c r="F42" i="3"/>
  <c r="P325" i="3"/>
  <c r="K35" i="3"/>
  <c r="L325" i="3"/>
  <c r="K325" i="3"/>
  <c r="F352" i="3"/>
  <c r="L35" i="3"/>
  <c r="F35" i="3"/>
  <c r="O43" i="3"/>
  <c r="O306" i="3"/>
  <c r="O320" i="3" s="1"/>
  <c r="O337" i="3" s="1"/>
  <c r="O42" i="3"/>
  <c r="N306" i="3"/>
  <c r="N320" i="3" s="1"/>
  <c r="N337" i="3" s="1"/>
  <c r="N43" i="3"/>
  <c r="N42" i="3"/>
  <c r="M216" i="3"/>
  <c r="AO293" i="3" l="1"/>
  <c r="AO294" i="3" s="1"/>
  <c r="T266" i="3"/>
  <c r="T261" i="3"/>
  <c r="AH293" i="3"/>
  <c r="AC294" i="3"/>
  <c r="U63" i="3"/>
  <c r="U65" i="3" s="1"/>
  <c r="U19" i="3" s="1"/>
  <c r="AK290" i="3"/>
  <c r="AP289" i="3"/>
  <c r="AP290" i="3" s="1"/>
  <c r="V269" i="3"/>
  <c r="V52" i="3"/>
  <c r="AD294" i="3"/>
  <c r="AI293" i="3"/>
  <c r="S250" i="3"/>
  <c r="S275" i="3"/>
  <c r="AB254" i="3"/>
  <c r="S290" i="3"/>
  <c r="T179" i="3"/>
  <c r="N301" i="3"/>
  <c r="H34" i="3"/>
  <c r="H221" i="3" s="1"/>
  <c r="H27" i="3"/>
  <c r="H39" i="3" s="1"/>
  <c r="H44" i="3" s="1"/>
  <c r="X83" i="3"/>
  <c r="P301" i="3"/>
  <c r="O301" i="3"/>
  <c r="Y77" i="3"/>
  <c r="X125" i="3"/>
  <c r="X95" i="3"/>
  <c r="Y132" i="3"/>
  <c r="X119" i="3"/>
  <c r="X101" i="3"/>
  <c r="Y142" i="3"/>
  <c r="Z111" i="3"/>
  <c r="U13" i="3"/>
  <c r="T290" i="3"/>
  <c r="T220" i="3"/>
  <c r="E37" i="3"/>
  <c r="E221" i="3"/>
  <c r="AC172" i="3"/>
  <c r="Z168" i="3"/>
  <c r="U67" i="3"/>
  <c r="Z154" i="3"/>
  <c r="V163" i="3"/>
  <c r="AC156" i="3"/>
  <c r="Z152" i="3"/>
  <c r="Z159" i="3" s="1"/>
  <c r="G327" i="3"/>
  <c r="G335" i="3" s="1"/>
  <c r="F335" i="3"/>
  <c r="H315" i="3"/>
  <c r="L337" i="3"/>
  <c r="X51" i="3"/>
  <c r="V56" i="3"/>
  <c r="V53" i="3"/>
  <c r="Y121" i="3"/>
  <c r="Y117" i="3"/>
  <c r="Y79" i="3"/>
  <c r="Y99" i="3"/>
  <c r="Z75" i="3"/>
  <c r="Y109" i="3"/>
  <c r="Y113" i="3" s="1"/>
  <c r="Y115" i="3"/>
  <c r="Y123" i="3"/>
  <c r="Z103" i="3"/>
  <c r="Y93" i="3"/>
  <c r="Z137" i="3"/>
  <c r="Y81" i="3"/>
  <c r="Z129" i="3"/>
  <c r="Y97" i="3"/>
  <c r="Z127" i="3"/>
  <c r="Z73" i="3"/>
  <c r="Z135" i="3"/>
  <c r="Y91" i="3"/>
  <c r="Y105" i="3"/>
  <c r="Y107" i="3" s="1"/>
  <c r="X54" i="3"/>
  <c r="X55" i="3" s="1"/>
  <c r="Y85" i="3"/>
  <c r="Y89" i="3" s="1"/>
  <c r="Z87" i="3"/>
  <c r="AF57" i="3"/>
  <c r="H325" i="3"/>
  <c r="D43" i="3"/>
  <c r="D306" i="3"/>
  <c r="D320" i="3" s="1"/>
  <c r="D42" i="3"/>
  <c r="Q325" i="3"/>
  <c r="F320" i="3"/>
  <c r="M325" i="3"/>
  <c r="G306" i="3"/>
  <c r="G320" i="3" s="1"/>
  <c r="G42" i="3"/>
  <c r="G43" i="3"/>
  <c r="G35" i="3"/>
  <c r="M35" i="3"/>
  <c r="G352" i="3"/>
  <c r="S294" i="3"/>
  <c r="R322" i="3"/>
  <c r="E35" i="3"/>
  <c r="P42" i="3"/>
  <c r="P43" i="3"/>
  <c r="P306" i="3"/>
  <c r="U266" i="3" l="1"/>
  <c r="U261" i="3"/>
  <c r="Z142" i="3"/>
  <c r="AH294" i="3"/>
  <c r="AM293" i="3"/>
  <c r="AM294" i="3" s="1"/>
  <c r="AI294" i="3"/>
  <c r="AN293" i="3"/>
  <c r="AN294" i="3" s="1"/>
  <c r="U181" i="3"/>
  <c r="X52" i="3"/>
  <c r="W269" i="3"/>
  <c r="X269" i="3"/>
  <c r="Y269" i="3" s="1"/>
  <c r="Z269" i="3" s="1"/>
  <c r="AA269" i="3" s="1"/>
  <c r="R325" i="3"/>
  <c r="V63" i="3"/>
  <c r="V65" i="3" s="1"/>
  <c r="V19" i="3" s="1"/>
  <c r="V181" i="3" s="1"/>
  <c r="T250" i="3"/>
  <c r="T18" i="3" s="1"/>
  <c r="Y101" i="3"/>
  <c r="Y95" i="3"/>
  <c r="Z132" i="3"/>
  <c r="T245" i="3"/>
  <c r="AG254" i="3"/>
  <c r="S18" i="3"/>
  <c r="S251" i="3"/>
  <c r="U179" i="3"/>
  <c r="H37" i="3"/>
  <c r="Y119" i="3"/>
  <c r="Y83" i="3"/>
  <c r="Y125" i="3"/>
  <c r="Z77" i="3"/>
  <c r="U290" i="3"/>
  <c r="AA111" i="3"/>
  <c r="V13" i="3"/>
  <c r="U220" i="3"/>
  <c r="AD172" i="3"/>
  <c r="AA168" i="3"/>
  <c r="X163" i="3"/>
  <c r="AA154" i="3"/>
  <c r="F337" i="3"/>
  <c r="AA152" i="3"/>
  <c r="AA159" i="3" s="1"/>
  <c r="AD156" i="3"/>
  <c r="V67" i="3"/>
  <c r="X53" i="3"/>
  <c r="H327" i="3"/>
  <c r="H335" i="3" s="1"/>
  <c r="G337" i="3"/>
  <c r="D337" i="3"/>
  <c r="X56" i="3"/>
  <c r="AA73" i="3"/>
  <c r="Y54" i="3"/>
  <c r="Y55" i="3" s="1"/>
  <c r="Z85" i="3"/>
  <c r="Z89" i="3" s="1"/>
  <c r="Z91" i="3"/>
  <c r="Z97" i="3"/>
  <c r="Z81" i="3"/>
  <c r="Z93" i="3"/>
  <c r="Z123" i="3"/>
  <c r="Z109" i="3"/>
  <c r="Z113" i="3" s="1"/>
  <c r="AA75" i="3"/>
  <c r="Y51" i="3"/>
  <c r="Z79" i="3"/>
  <c r="Z117" i="3"/>
  <c r="AA87" i="3"/>
  <c r="Z105" i="3"/>
  <c r="Z107" i="3" s="1"/>
  <c r="AA135" i="3"/>
  <c r="Z99" i="3"/>
  <c r="Z121" i="3"/>
  <c r="S325" i="3"/>
  <c r="AA127" i="3"/>
  <c r="AA129" i="3"/>
  <c r="AA137" i="3"/>
  <c r="AA103" i="3"/>
  <c r="Z115" i="3"/>
  <c r="AH57" i="3"/>
  <c r="T325" i="3"/>
  <c r="I306" i="3"/>
  <c r="I320" i="3" s="1"/>
  <c r="I42" i="3"/>
  <c r="I43" i="3"/>
  <c r="J43" i="3"/>
  <c r="J306" i="3"/>
  <c r="J320" i="3" s="1"/>
  <c r="J337" i="3" s="1"/>
  <c r="J42" i="3"/>
  <c r="L353" i="3"/>
  <c r="T294" i="3"/>
  <c r="K43" i="3"/>
  <c r="K42" i="3"/>
  <c r="K306" i="3"/>
  <c r="K320" i="3" s="1"/>
  <c r="K337" i="3" s="1"/>
  <c r="H35" i="3"/>
  <c r="W324" i="3"/>
  <c r="P320" i="3"/>
  <c r="V266" i="3" l="1"/>
  <c r="V261" i="3"/>
  <c r="Y52" i="3"/>
  <c r="X65" i="3"/>
  <c r="X19" i="3" s="1"/>
  <c r="X181" i="3" s="1"/>
  <c r="AB269" i="3"/>
  <c r="AC269" i="3"/>
  <c r="AD269" i="3" s="1"/>
  <c r="AE269" i="3" s="1"/>
  <c r="AF269" i="3" s="1"/>
  <c r="W19" i="3"/>
  <c r="X13" i="3"/>
  <c r="S145" i="3"/>
  <c r="S176" i="3"/>
  <c r="S66" i="3"/>
  <c r="S162" i="3"/>
  <c r="AL254" i="3"/>
  <c r="AQ254" i="3"/>
  <c r="I337" i="3"/>
  <c r="I353" i="3"/>
  <c r="V179" i="3"/>
  <c r="U245" i="3"/>
  <c r="Z125" i="3"/>
  <c r="Z83" i="3"/>
  <c r="Z119" i="3"/>
  <c r="Z101" i="3"/>
  <c r="AA77" i="3"/>
  <c r="AA132" i="3"/>
  <c r="Z95" i="3"/>
  <c r="AA142" i="3"/>
  <c r="AC111" i="3"/>
  <c r="V220" i="3"/>
  <c r="AE172" i="3"/>
  <c r="AC168" i="3"/>
  <c r="AC154" i="3"/>
  <c r="Y163" i="3"/>
  <c r="X67" i="3"/>
  <c r="AE156" i="3"/>
  <c r="AC152" i="3"/>
  <c r="AC159" i="3" s="1"/>
  <c r="Y53" i="3"/>
  <c r="AA85" i="3"/>
  <c r="AA89" i="3" s="1"/>
  <c r="AC127" i="3"/>
  <c r="AA99" i="3"/>
  <c r="AA105" i="3"/>
  <c r="AA107" i="3" s="1"/>
  <c r="AA117" i="3"/>
  <c r="AA109" i="3"/>
  <c r="AA113" i="3" s="1"/>
  <c r="AA93" i="3"/>
  <c r="AA97" i="3"/>
  <c r="AA91" i="3"/>
  <c r="Y56" i="3"/>
  <c r="Z54" i="3"/>
  <c r="Z55" i="3" s="1"/>
  <c r="AC73" i="3"/>
  <c r="AA115" i="3"/>
  <c r="AC137" i="3"/>
  <c r="AA121" i="3"/>
  <c r="AC87" i="3"/>
  <c r="AA79" i="3"/>
  <c r="AC75" i="3"/>
  <c r="AC103" i="3"/>
  <c r="AC129" i="3"/>
  <c r="Z51" i="3"/>
  <c r="AC135" i="3"/>
  <c r="AA123" i="3"/>
  <c r="AA81" i="3"/>
  <c r="AI57" i="3"/>
  <c r="N353" i="3"/>
  <c r="O353" i="3"/>
  <c r="K353" i="3"/>
  <c r="U294" i="3"/>
  <c r="M306" i="3"/>
  <c r="M320" i="3" s="1"/>
  <c r="M340" i="3" s="1"/>
  <c r="M43" i="3"/>
  <c r="M42" i="3"/>
  <c r="P353" i="3"/>
  <c r="E42" i="3"/>
  <c r="E43" i="3"/>
  <c r="E306" i="3"/>
  <c r="E320" i="3" s="1"/>
  <c r="E337" i="3" s="1"/>
  <c r="X266" i="3" l="1"/>
  <c r="X261" i="3"/>
  <c r="Z52" i="3"/>
  <c r="Y65" i="3"/>
  <c r="Y19" i="3" s="1"/>
  <c r="Y181" i="3" s="1"/>
  <c r="AG269" i="3"/>
  <c r="AH269" i="3"/>
  <c r="AI269" i="3" s="1"/>
  <c r="AJ269" i="3" s="1"/>
  <c r="AK269" i="3" s="1"/>
  <c r="W322" i="3"/>
  <c r="W325" i="3" s="1"/>
  <c r="AA95" i="3"/>
  <c r="T145" i="3"/>
  <c r="S180" i="3"/>
  <c r="V290" i="3"/>
  <c r="Y13" i="3"/>
  <c r="T162" i="3"/>
  <c r="S165" i="3"/>
  <c r="S166" i="3" s="1"/>
  <c r="V245" i="3"/>
  <c r="X245" i="3" s="1"/>
  <c r="T66" i="3"/>
  <c r="S69" i="3"/>
  <c r="T176" i="3"/>
  <c r="X179" i="3"/>
  <c r="W266" i="3"/>
  <c r="M337" i="3"/>
  <c r="AA119" i="3"/>
  <c r="AA101" i="3"/>
  <c r="AA83" i="3"/>
  <c r="AA125" i="3"/>
  <c r="AC77" i="3"/>
  <c r="AD111" i="3"/>
  <c r="AC142" i="3"/>
  <c r="AC132" i="3"/>
  <c r="R246" i="3"/>
  <c r="R251" i="3"/>
  <c r="X220" i="3"/>
  <c r="AF172" i="3"/>
  <c r="AD168" i="3"/>
  <c r="AD154" i="3"/>
  <c r="Z163" i="3"/>
  <c r="Y67" i="3"/>
  <c r="AD152" i="3"/>
  <c r="AD159" i="3" s="1"/>
  <c r="AF156" i="3"/>
  <c r="R250" i="3"/>
  <c r="Z56" i="3"/>
  <c r="Z53" i="3"/>
  <c r="AC123" i="3"/>
  <c r="AD137" i="3"/>
  <c r="AA54" i="3"/>
  <c r="AA55" i="3" s="1"/>
  <c r="AC85" i="3"/>
  <c r="AC89" i="3" s="1"/>
  <c r="AD75" i="3"/>
  <c r="AD87" i="3"/>
  <c r="AC115" i="3"/>
  <c r="AC91" i="3"/>
  <c r="AC93" i="3"/>
  <c r="AC105" i="3"/>
  <c r="AC107" i="3" s="1"/>
  <c r="AD73" i="3"/>
  <c r="AD127" i="3"/>
  <c r="AC81" i="3"/>
  <c r="AD129" i="3"/>
  <c r="AC79" i="3"/>
  <c r="AD103" i="3"/>
  <c r="AC121" i="3"/>
  <c r="AD135" i="3"/>
  <c r="AA51" i="3"/>
  <c r="AC97" i="3"/>
  <c r="AC109" i="3"/>
  <c r="AC113" i="3" s="1"/>
  <c r="AC117" i="3"/>
  <c r="AC99" i="3"/>
  <c r="AJ57" i="3"/>
  <c r="U325" i="3"/>
  <c r="V294" i="3"/>
  <c r="H306" i="3"/>
  <c r="H320" i="3" s="1"/>
  <c r="H340" i="3" s="1"/>
  <c r="H43" i="3"/>
  <c r="H42" i="3"/>
  <c r="J353" i="3"/>
  <c r="AC83" i="3" l="1"/>
  <c r="AD77" i="3"/>
  <c r="Y261" i="3"/>
  <c r="Y266" i="3"/>
  <c r="AA52" i="3"/>
  <c r="Z65" i="3"/>
  <c r="Z19" i="3" s="1"/>
  <c r="Z181" i="3" s="1"/>
  <c r="AL269" i="3"/>
  <c r="AM269" i="3"/>
  <c r="AN269" i="3" s="1"/>
  <c r="AO269" i="3" s="1"/>
  <c r="AP269" i="3" s="1"/>
  <c r="AQ269" i="3" s="1"/>
  <c r="X325" i="3"/>
  <c r="S70" i="3"/>
  <c r="T165" i="3"/>
  <c r="T166" i="3" s="1"/>
  <c r="T69" i="3"/>
  <c r="T70" i="3" s="1"/>
  <c r="T180" i="3"/>
  <c r="Y245" i="3"/>
  <c r="Z13" i="3"/>
  <c r="Y179" i="3"/>
  <c r="U250" i="3"/>
  <c r="T251" i="3"/>
  <c r="H337" i="3"/>
  <c r="AC125" i="3"/>
  <c r="AC95" i="3"/>
  <c r="AD142" i="3"/>
  <c r="AD132" i="3"/>
  <c r="AE111" i="3"/>
  <c r="AC101" i="3"/>
  <c r="AC119" i="3"/>
  <c r="S246" i="3"/>
  <c r="Q252" i="3"/>
  <c r="R252" i="3"/>
  <c r="Y220" i="3"/>
  <c r="AH172" i="3"/>
  <c r="AE168" i="3"/>
  <c r="AE154" i="3"/>
  <c r="AA163" i="3"/>
  <c r="Z67" i="3"/>
  <c r="AH156" i="3"/>
  <c r="AE152" i="3"/>
  <c r="AE159" i="3" s="1"/>
  <c r="AA53" i="3"/>
  <c r="AD117" i="3"/>
  <c r="AE73" i="3"/>
  <c r="AC54" i="3"/>
  <c r="AC55" i="3" s="1"/>
  <c r="AD93" i="3"/>
  <c r="AD115" i="3"/>
  <c r="AD85" i="3"/>
  <c r="AD89" i="3" s="1"/>
  <c r="AE137" i="3"/>
  <c r="AD121" i="3"/>
  <c r="AD81" i="3"/>
  <c r="AE87" i="3"/>
  <c r="AD99" i="3"/>
  <c r="AD109" i="3"/>
  <c r="AD113" i="3" s="1"/>
  <c r="AE135" i="3"/>
  <c r="AE142" i="3" s="1"/>
  <c r="AE103" i="3"/>
  <c r="AD79" i="3"/>
  <c r="AD83" i="3" s="1"/>
  <c r="AE127" i="3"/>
  <c r="AE75" i="3"/>
  <c r="AD97" i="3"/>
  <c r="AE129" i="3"/>
  <c r="AC51" i="3"/>
  <c r="AD105" i="3"/>
  <c r="AD107" i="3" s="1"/>
  <c r="AD91" i="3"/>
  <c r="AA56" i="3"/>
  <c r="AD123" i="3"/>
  <c r="AK57" i="3"/>
  <c r="M353" i="3"/>
  <c r="Z266" i="3" l="1"/>
  <c r="Z261" i="3"/>
  <c r="AC52" i="3"/>
  <c r="AA65" i="3"/>
  <c r="AA19" i="3" s="1"/>
  <c r="AA13" i="3"/>
  <c r="Z325" i="3"/>
  <c r="Z245" i="3"/>
  <c r="Y325" i="3"/>
  <c r="V250" i="3"/>
  <c r="AD95" i="3"/>
  <c r="AD119" i="3"/>
  <c r="AD101" i="3"/>
  <c r="AE132" i="3"/>
  <c r="AD125" i="3"/>
  <c r="Z179" i="3"/>
  <c r="AF111" i="3"/>
  <c r="AE77" i="3"/>
  <c r="S252" i="3"/>
  <c r="T252" i="3"/>
  <c r="T246" i="3"/>
  <c r="Z220" i="3"/>
  <c r="AI172" i="3"/>
  <c r="AF168" i="3"/>
  <c r="AC163" i="3"/>
  <c r="AF154" i="3"/>
  <c r="D339" i="3"/>
  <c r="D244" i="3" s="1"/>
  <c r="D344" i="3" s="1"/>
  <c r="D346" i="3" s="1"/>
  <c r="AA67" i="3"/>
  <c r="AF152" i="3"/>
  <c r="AF159" i="3" s="1"/>
  <c r="AI156" i="3"/>
  <c r="AC53" i="3"/>
  <c r="AE105" i="3"/>
  <c r="AE107" i="3" s="1"/>
  <c r="AF135" i="3"/>
  <c r="AD51" i="3"/>
  <c r="AF129" i="3"/>
  <c r="AD54" i="3"/>
  <c r="AD55" i="3" s="1"/>
  <c r="AE81" i="3"/>
  <c r="AE93" i="3"/>
  <c r="AF73" i="3"/>
  <c r="AE79" i="3"/>
  <c r="AE99" i="3"/>
  <c r="AE85" i="3"/>
  <c r="AE89" i="3" s="1"/>
  <c r="AE123" i="3"/>
  <c r="AE91" i="3"/>
  <c r="AF75" i="3"/>
  <c r="AF127" i="3"/>
  <c r="AF103" i="3"/>
  <c r="AE109" i="3"/>
  <c r="AE113" i="3" s="1"/>
  <c r="AF137" i="3"/>
  <c r="AC56" i="3"/>
  <c r="AE97" i="3"/>
  <c r="AF87" i="3"/>
  <c r="AE121" i="3"/>
  <c r="AE115" i="3"/>
  <c r="AE117" i="3"/>
  <c r="AM57" i="3"/>
  <c r="V325" i="3"/>
  <c r="AA261" i="3" l="1"/>
  <c r="AA266" i="3"/>
  <c r="AB19" i="3"/>
  <c r="AA181" i="3"/>
  <c r="AA325" i="3"/>
  <c r="AC65" i="3"/>
  <c r="AC19" i="3" s="1"/>
  <c r="AC181" i="3" s="1"/>
  <c r="AD52" i="3"/>
  <c r="AE95" i="3"/>
  <c r="AB13" i="3"/>
  <c r="AA245" i="3"/>
  <c r="AB245" i="3" s="1"/>
  <c r="AB309" i="3"/>
  <c r="X250" i="3"/>
  <c r="AC13" i="3"/>
  <c r="U251" i="3"/>
  <c r="U18" i="3"/>
  <c r="W250" i="3"/>
  <c r="AA179" i="3"/>
  <c r="AE125" i="3"/>
  <c r="AE101" i="3"/>
  <c r="AF77" i="3"/>
  <c r="AE83" i="3"/>
  <c r="AF142" i="3"/>
  <c r="AE119" i="3"/>
  <c r="AF132" i="3"/>
  <c r="AH111" i="3"/>
  <c r="AA220" i="3"/>
  <c r="AJ172" i="3"/>
  <c r="AH168" i="3"/>
  <c r="AH154" i="3"/>
  <c r="AD163" i="3"/>
  <c r="E338" i="3"/>
  <c r="E339" i="3" s="1"/>
  <c r="F338" i="3" s="1"/>
  <c r="F339" i="3" s="1"/>
  <c r="AC67" i="3"/>
  <c r="AJ156" i="3"/>
  <c r="AH152" i="3"/>
  <c r="AH159" i="3" s="1"/>
  <c r="D249" i="3"/>
  <c r="D255" i="3" s="1"/>
  <c r="D285" i="3" s="1"/>
  <c r="AD53" i="3"/>
  <c r="AF115" i="3"/>
  <c r="AH127" i="3"/>
  <c r="AF79" i="3"/>
  <c r="AH87" i="3"/>
  <c r="AF97" i="3"/>
  <c r="AF109" i="3"/>
  <c r="AF113" i="3" s="1"/>
  <c r="AF93" i="3"/>
  <c r="AD56" i="3"/>
  <c r="AH129" i="3"/>
  <c r="AH135" i="3"/>
  <c r="AE54" i="3"/>
  <c r="AE55" i="3" s="1"/>
  <c r="AF91" i="3"/>
  <c r="AF85" i="3"/>
  <c r="AF89" i="3" s="1"/>
  <c r="AF81" i="3"/>
  <c r="AF117" i="3"/>
  <c r="AH103" i="3"/>
  <c r="AH75" i="3"/>
  <c r="AF123" i="3"/>
  <c r="AF99" i="3"/>
  <c r="AH73" i="3"/>
  <c r="AF121" i="3"/>
  <c r="AH137" i="3"/>
  <c r="AE51" i="3"/>
  <c r="AF105" i="3"/>
  <c r="AF107" i="3" s="1"/>
  <c r="AN57" i="3"/>
  <c r="AB322" i="3" l="1"/>
  <c r="AB325" i="3" s="1"/>
  <c r="AC266" i="3"/>
  <c r="AC261" i="3"/>
  <c r="AE52" i="3"/>
  <c r="AD65" i="3"/>
  <c r="AD19" i="3" s="1"/>
  <c r="AD181" i="3" s="1"/>
  <c r="AB266" i="3"/>
  <c r="AF95" i="3"/>
  <c r="AD13" i="3"/>
  <c r="U176" i="3"/>
  <c r="U145" i="3"/>
  <c r="U66" i="3"/>
  <c r="U162" i="3"/>
  <c r="X18" i="3"/>
  <c r="W307" i="3"/>
  <c r="V18" i="3"/>
  <c r="W18" i="3" s="1"/>
  <c r="AC245" i="3"/>
  <c r="Y250" i="3"/>
  <c r="X246" i="3"/>
  <c r="AC179" i="3"/>
  <c r="V251" i="3"/>
  <c r="W251" i="3" s="1"/>
  <c r="W252" i="3" s="1"/>
  <c r="AF101" i="3"/>
  <c r="AF119" i="3"/>
  <c r="AH77" i="3"/>
  <c r="AH132" i="3"/>
  <c r="AF83" i="3"/>
  <c r="AF125" i="3"/>
  <c r="AH142" i="3"/>
  <c r="AI111" i="3"/>
  <c r="AC220" i="3"/>
  <c r="U252" i="3"/>
  <c r="U246" i="3"/>
  <c r="AK172" i="3"/>
  <c r="AI168" i="3"/>
  <c r="AE163" i="3"/>
  <c r="AI154" i="3"/>
  <c r="E244" i="3"/>
  <c r="E344" i="3" s="1"/>
  <c r="E346" i="3" s="1"/>
  <c r="AD67" i="3"/>
  <c r="AK156" i="3"/>
  <c r="AI152" i="3"/>
  <c r="AI159" i="3" s="1"/>
  <c r="G338" i="3"/>
  <c r="G339" i="3" s="1"/>
  <c r="H339" i="3" s="1"/>
  <c r="F244" i="3"/>
  <c r="F344" i="3" s="1"/>
  <c r="F346" i="3" s="1"/>
  <c r="AE56" i="3"/>
  <c r="AF51" i="3"/>
  <c r="AE53" i="3"/>
  <c r="AH121" i="3"/>
  <c r="AI103" i="3"/>
  <c r="AF54" i="3"/>
  <c r="AF55" i="3" s="1"/>
  <c r="AH99" i="3"/>
  <c r="AI75" i="3"/>
  <c r="AH117" i="3"/>
  <c r="AH81" i="3"/>
  <c r="AH91" i="3"/>
  <c r="AI129" i="3"/>
  <c r="AH97" i="3"/>
  <c r="AH105" i="3"/>
  <c r="AH107" i="3" s="1"/>
  <c r="AI73" i="3"/>
  <c r="AI87" i="3"/>
  <c r="AH115" i="3"/>
  <c r="AI137" i="3"/>
  <c r="AH123" i="3"/>
  <c r="AH85" i="3"/>
  <c r="AH89" i="3" s="1"/>
  <c r="AI135" i="3"/>
  <c r="AH93" i="3"/>
  <c r="AH109" i="3"/>
  <c r="AH113" i="3" s="1"/>
  <c r="AH79" i="3"/>
  <c r="AI127" i="3"/>
  <c r="AP57" i="3"/>
  <c r="AO57" i="3"/>
  <c r="AD261" i="3" l="1"/>
  <c r="AD266" i="3"/>
  <c r="AD325" i="3"/>
  <c r="AF52" i="3"/>
  <c r="AE65" i="3"/>
  <c r="AE19" i="3" s="1"/>
  <c r="AE181" i="3" s="1"/>
  <c r="AD245" i="3"/>
  <c r="X251" i="3"/>
  <c r="X252" i="3" s="1"/>
  <c r="V162" i="3"/>
  <c r="V165" i="3" s="1"/>
  <c r="V166" i="3" s="1"/>
  <c r="U165" i="3"/>
  <c r="U166" i="3" s="1"/>
  <c r="Z250" i="3"/>
  <c r="Y246" i="3"/>
  <c r="V176" i="3"/>
  <c r="V66" i="3"/>
  <c r="V69" i="3" s="1"/>
  <c r="V70" i="3" s="1"/>
  <c r="U69" i="3"/>
  <c r="U180" i="3"/>
  <c r="AE13" i="3"/>
  <c r="AC325" i="3"/>
  <c r="V145" i="3"/>
  <c r="AD179" i="3"/>
  <c r="AH83" i="3"/>
  <c r="AI132" i="3"/>
  <c r="AH119" i="3"/>
  <c r="AH101" i="3"/>
  <c r="AH125" i="3"/>
  <c r="AJ111" i="3"/>
  <c r="AI142" i="3"/>
  <c r="AI77" i="3"/>
  <c r="AH95" i="3"/>
  <c r="AD220" i="3"/>
  <c r="AM172" i="3"/>
  <c r="AJ168" i="3"/>
  <c r="E249" i="3"/>
  <c r="E255" i="3" s="1"/>
  <c r="E285" i="3" s="1"/>
  <c r="AJ154" i="3"/>
  <c r="AF163" i="3"/>
  <c r="AE67" i="3"/>
  <c r="AM156" i="3"/>
  <c r="AJ152" i="3"/>
  <c r="AJ159" i="3" s="1"/>
  <c r="G244" i="3"/>
  <c r="G344" i="3" s="1"/>
  <c r="G346" i="3" s="1"/>
  <c r="F249" i="3"/>
  <c r="F255" i="3" s="1"/>
  <c r="F285" i="3" s="1"/>
  <c r="AF53" i="3"/>
  <c r="AI123" i="3"/>
  <c r="AJ73" i="3"/>
  <c r="AI91" i="3"/>
  <c r="AI99" i="3"/>
  <c r="AJ127" i="3"/>
  <c r="AH54" i="3"/>
  <c r="AH55" i="3" s="1"/>
  <c r="AI105" i="3"/>
  <c r="AI107" i="3" s="1"/>
  <c r="AJ103" i="3"/>
  <c r="AI79" i="3"/>
  <c r="AI109" i="3"/>
  <c r="AI113" i="3" s="1"/>
  <c r="AJ135" i="3"/>
  <c r="AH51" i="3"/>
  <c r="AI115" i="3"/>
  <c r="AJ129" i="3"/>
  <c r="AI81" i="3"/>
  <c r="AJ75" i="3"/>
  <c r="AJ137" i="3"/>
  <c r="AJ87" i="3"/>
  <c r="AI117" i="3"/>
  <c r="AI93" i="3"/>
  <c r="AI85" i="3"/>
  <c r="AI89" i="3" s="1"/>
  <c r="AI97" i="3"/>
  <c r="AF56" i="3"/>
  <c r="AI121" i="3"/>
  <c r="V246" i="3"/>
  <c r="AE266" i="3" l="1"/>
  <c r="AE261" i="3"/>
  <c r="AH52" i="3"/>
  <c r="AF65" i="3"/>
  <c r="AF19" i="3" s="1"/>
  <c r="U70" i="3"/>
  <c r="W69" i="3"/>
  <c r="W70" i="3" s="1"/>
  <c r="AF13" i="3"/>
  <c r="Y251" i="3"/>
  <c r="Y252" i="3" s="1"/>
  <c r="X66" i="3"/>
  <c r="X69" i="3" s="1"/>
  <c r="X162" i="3"/>
  <c r="X165" i="3" s="1"/>
  <c r="X166" i="3" s="1"/>
  <c r="X145" i="3"/>
  <c r="X176" i="3"/>
  <c r="Z18" i="3"/>
  <c r="Z246" i="3"/>
  <c r="AA250" i="3"/>
  <c r="AE245" i="3"/>
  <c r="Y18" i="3"/>
  <c r="V180" i="3"/>
  <c r="W246" i="3"/>
  <c r="W316" i="3"/>
  <c r="AI125" i="3"/>
  <c r="AJ77" i="3"/>
  <c r="AE179" i="3"/>
  <c r="AI101" i="3"/>
  <c r="AJ132" i="3"/>
  <c r="AI95" i="3"/>
  <c r="AI119" i="3"/>
  <c r="AJ142" i="3"/>
  <c r="AI83" i="3"/>
  <c r="AK111" i="3"/>
  <c r="AE220" i="3"/>
  <c r="AN172" i="3"/>
  <c r="AK168" i="3"/>
  <c r="AK154" i="3"/>
  <c r="AH163" i="3"/>
  <c r="AF67" i="3"/>
  <c r="AK152" i="3"/>
  <c r="AK159" i="3" s="1"/>
  <c r="AN156" i="3"/>
  <c r="AI51" i="3"/>
  <c r="V252" i="3"/>
  <c r="H244" i="3"/>
  <c r="H344" i="3" s="1"/>
  <c r="H346" i="3" s="1"/>
  <c r="G249" i="3"/>
  <c r="G255" i="3" s="1"/>
  <c r="G285" i="3" s="1"/>
  <c r="M338" i="3"/>
  <c r="M339" i="3" s="1"/>
  <c r="I338" i="3"/>
  <c r="I339" i="3" s="1"/>
  <c r="AH53" i="3"/>
  <c r="AH56" i="3"/>
  <c r="AK129" i="3"/>
  <c r="AJ109" i="3"/>
  <c r="AJ113" i="3" s="1"/>
  <c r="AK127" i="3"/>
  <c r="AJ121" i="3"/>
  <c r="AJ97" i="3"/>
  <c r="AJ93" i="3"/>
  <c r="AK87" i="3"/>
  <c r="AJ91" i="3"/>
  <c r="AJ123" i="3"/>
  <c r="AJ105" i="3"/>
  <c r="AJ107" i="3" s="1"/>
  <c r="AJ81" i="3"/>
  <c r="AK135" i="3"/>
  <c r="AJ79" i="3"/>
  <c r="AK75" i="3"/>
  <c r="AJ85" i="3"/>
  <c r="AJ89" i="3" s="1"/>
  <c r="AJ117" i="3"/>
  <c r="AK137" i="3"/>
  <c r="AJ115" i="3"/>
  <c r="AI54" i="3"/>
  <c r="AI55" i="3" s="1"/>
  <c r="AK103" i="3"/>
  <c r="AJ99" i="3"/>
  <c r="AK73" i="3"/>
  <c r="R13" i="3"/>
  <c r="R354" i="3" s="1"/>
  <c r="S216" i="3"/>
  <c r="Q216" i="3"/>
  <c r="R245" i="3"/>
  <c r="AF266" i="3" l="1"/>
  <c r="AG266" i="3" s="1"/>
  <c r="AF261" i="3"/>
  <c r="AG19" i="3"/>
  <c r="AF181" i="3"/>
  <c r="AG309" i="3"/>
  <c r="AI52" i="3"/>
  <c r="AK132" i="3"/>
  <c r="AJ83" i="3"/>
  <c r="AH65" i="3"/>
  <c r="AH19" i="3" s="1"/>
  <c r="AH181" i="3" s="1"/>
  <c r="AJ119" i="3"/>
  <c r="X70" i="3"/>
  <c r="AG13" i="3"/>
  <c r="AF325" i="3"/>
  <c r="AJ95" i="3"/>
  <c r="X180" i="3"/>
  <c r="Y145" i="3"/>
  <c r="AF245" i="3"/>
  <c r="AH13" i="3"/>
  <c r="AE325" i="3"/>
  <c r="Y162" i="3"/>
  <c r="Y165" i="3" s="1"/>
  <c r="Y166" i="3" s="1"/>
  <c r="Y176" i="3"/>
  <c r="Y66" i="3"/>
  <c r="AB250" i="3"/>
  <c r="AC250" i="3"/>
  <c r="AA246" i="3"/>
  <c r="AA18" i="3"/>
  <c r="AB18" i="3" s="1"/>
  <c r="Z251" i="3"/>
  <c r="AF179" i="3"/>
  <c r="AK77" i="3"/>
  <c r="AJ101" i="3"/>
  <c r="AK142" i="3"/>
  <c r="AJ125" i="3"/>
  <c r="AM111" i="3"/>
  <c r="AF220" i="3"/>
  <c r="R220" i="3"/>
  <c r="AO172" i="3"/>
  <c r="AM168" i="3"/>
  <c r="AI163" i="3"/>
  <c r="AM154" i="3"/>
  <c r="AH67" i="3"/>
  <c r="AM152" i="3"/>
  <c r="AM159" i="3" s="1"/>
  <c r="AP156" i="3"/>
  <c r="AO156" i="3"/>
  <c r="I244" i="3"/>
  <c r="I344" i="3" s="1"/>
  <c r="I346" i="3" s="1"/>
  <c r="J338" i="3"/>
  <c r="J339" i="3" s="1"/>
  <c r="R338" i="3"/>
  <c r="N338" i="3"/>
  <c r="N339" i="3" s="1"/>
  <c r="H249" i="3"/>
  <c r="H255" i="3" s="1"/>
  <c r="H285" i="3" s="1"/>
  <c r="AI53" i="3"/>
  <c r="AK115" i="3"/>
  <c r="AM87" i="3"/>
  <c r="AK99" i="3"/>
  <c r="AI56" i="3"/>
  <c r="AM75" i="3"/>
  <c r="AJ51" i="3"/>
  <c r="AK97" i="3"/>
  <c r="AM127" i="3"/>
  <c r="AM129" i="3"/>
  <c r="AM137" i="3"/>
  <c r="AK79" i="3"/>
  <c r="AK123" i="3"/>
  <c r="AM73" i="3"/>
  <c r="AM103" i="3"/>
  <c r="AK117" i="3"/>
  <c r="AM135" i="3"/>
  <c r="AK81" i="3"/>
  <c r="AK105" i="3"/>
  <c r="AK107" i="3" s="1"/>
  <c r="AK91" i="3"/>
  <c r="AK85" i="3"/>
  <c r="AK89" i="3" s="1"/>
  <c r="AK109" i="3"/>
  <c r="AK113" i="3" s="1"/>
  <c r="AK93" i="3"/>
  <c r="AK121" i="3"/>
  <c r="AJ54" i="3"/>
  <c r="AJ55" i="3" s="1"/>
  <c r="W334" i="3"/>
  <c r="T275" i="3"/>
  <c r="T216" i="3"/>
  <c r="R216" i="3"/>
  <c r="AH266" i="3" l="1"/>
  <c r="AH261" i="3"/>
  <c r="AM142" i="3"/>
  <c r="AJ52" i="3"/>
  <c r="AG322" i="3"/>
  <c r="AG325" i="3" s="1"/>
  <c r="Y180" i="3"/>
  <c r="Z176" i="3"/>
  <c r="Z145" i="3"/>
  <c r="Z162" i="3"/>
  <c r="Z165" i="3" s="1"/>
  <c r="Z166" i="3" s="1"/>
  <c r="AI13" i="3"/>
  <c r="Z66" i="3"/>
  <c r="Z69" i="3" s="1"/>
  <c r="Z70" i="3" s="1"/>
  <c r="Y69" i="3"/>
  <c r="AC18" i="3"/>
  <c r="AH245" i="3"/>
  <c r="AB246" i="3"/>
  <c r="AB316" i="3"/>
  <c r="AC246" i="3"/>
  <c r="AD250" i="3"/>
  <c r="AB307" i="3"/>
  <c r="AG245" i="3"/>
  <c r="AA251" i="3"/>
  <c r="Z252" i="3"/>
  <c r="AH179" i="3"/>
  <c r="AK125" i="3"/>
  <c r="AM77" i="3"/>
  <c r="AK101" i="3"/>
  <c r="AM132" i="3"/>
  <c r="AK95" i="3"/>
  <c r="AK83" i="3"/>
  <c r="AK119" i="3"/>
  <c r="AN111" i="3"/>
  <c r="AH220" i="3"/>
  <c r="AP172" i="3"/>
  <c r="AN168" i="3"/>
  <c r="AN154" i="3"/>
  <c r="AJ163" i="3"/>
  <c r="AI67" i="3"/>
  <c r="AN152" i="3"/>
  <c r="AN159" i="3" s="1"/>
  <c r="K338" i="3"/>
  <c r="K339" i="3" s="1"/>
  <c r="J244" i="3"/>
  <c r="J344" i="3" s="1"/>
  <c r="J346" i="3" s="1"/>
  <c r="N244" i="3"/>
  <c r="N344" i="3" s="1"/>
  <c r="N346" i="3" s="1"/>
  <c r="O338" i="3"/>
  <c r="O339" i="3" s="1"/>
  <c r="AK51" i="3"/>
  <c r="I249" i="3"/>
  <c r="I255" i="3" s="1"/>
  <c r="I285" i="3" s="1"/>
  <c r="AJ53" i="3"/>
  <c r="AJ56" i="3"/>
  <c r="AM93" i="3"/>
  <c r="AM109" i="3"/>
  <c r="AM113" i="3" s="1"/>
  <c r="AN103" i="3"/>
  <c r="AN137" i="3"/>
  <c r="AN75" i="3"/>
  <c r="AN87" i="3"/>
  <c r="AM91" i="3"/>
  <c r="AN129" i="3"/>
  <c r="AM99" i="3"/>
  <c r="AK54" i="3"/>
  <c r="AK55" i="3" s="1"/>
  <c r="AM105" i="3"/>
  <c r="AM107" i="3" s="1"/>
  <c r="AM117" i="3"/>
  <c r="AN73" i="3"/>
  <c r="AM79" i="3"/>
  <c r="AN127" i="3"/>
  <c r="AM115" i="3"/>
  <c r="AM81" i="3"/>
  <c r="AM123" i="3"/>
  <c r="AM121" i="3"/>
  <c r="AM85" i="3"/>
  <c r="AM89" i="3" s="1"/>
  <c r="AN135" i="3"/>
  <c r="AM97" i="3"/>
  <c r="R274" i="3"/>
  <c r="U275" i="3"/>
  <c r="U216" i="3"/>
  <c r="AI261" i="3" l="1"/>
  <c r="AI266" i="3"/>
  <c r="AI65" i="3"/>
  <c r="AI19" i="3" s="1"/>
  <c r="AI181" i="3" s="1"/>
  <c r="AK52" i="3"/>
  <c r="AI325" i="3"/>
  <c r="AJ65" i="3"/>
  <c r="AJ19" i="3" s="1"/>
  <c r="AJ181" i="3" s="1"/>
  <c r="Y70" i="3"/>
  <c r="AM119" i="3"/>
  <c r="AM95" i="3"/>
  <c r="Z180" i="3"/>
  <c r="AA176" i="3"/>
  <c r="AI245" i="3"/>
  <c r="AJ13" i="3"/>
  <c r="AE250" i="3"/>
  <c r="AD246" i="3"/>
  <c r="AH325" i="3"/>
  <c r="AC251" i="3"/>
  <c r="AB251" i="3"/>
  <c r="AB252" i="3" s="1"/>
  <c r="AA252" i="3"/>
  <c r="AA66" i="3"/>
  <c r="AA162" i="3"/>
  <c r="AA145" i="3"/>
  <c r="AI179" i="3"/>
  <c r="AM125" i="3"/>
  <c r="AN77" i="3"/>
  <c r="AM101" i="3"/>
  <c r="AM83" i="3"/>
  <c r="AN142" i="3"/>
  <c r="AN132" i="3"/>
  <c r="AP111" i="3"/>
  <c r="AO111" i="3"/>
  <c r="AP168" i="3"/>
  <c r="AO168" i="3"/>
  <c r="AP154" i="3"/>
  <c r="AO154" i="3"/>
  <c r="AK163" i="3"/>
  <c r="AJ67" i="3"/>
  <c r="AP152" i="3"/>
  <c r="AP159" i="3" s="1"/>
  <c r="AO152" i="3"/>
  <c r="AO159" i="3" s="1"/>
  <c r="N249" i="3"/>
  <c r="N255" i="3" s="1"/>
  <c r="N285" i="3" s="1"/>
  <c r="J249" i="3"/>
  <c r="J255" i="3" s="1"/>
  <c r="J285" i="3" s="1"/>
  <c r="O244" i="3"/>
  <c r="O344" i="3" s="1"/>
  <c r="O346" i="3" s="1"/>
  <c r="P338" i="3"/>
  <c r="L338" i="3"/>
  <c r="L339" i="3" s="1"/>
  <c r="L244" i="3" s="1"/>
  <c r="L344" i="3" s="1"/>
  <c r="L346" i="3" s="1"/>
  <c r="K244" i="3"/>
  <c r="K344" i="3" s="1"/>
  <c r="K346" i="3" s="1"/>
  <c r="AK53" i="3"/>
  <c r="AM51" i="3"/>
  <c r="AN85" i="3"/>
  <c r="AN89" i="3" s="1"/>
  <c r="AN117" i="3"/>
  <c r="AN91" i="3"/>
  <c r="AP103" i="3"/>
  <c r="AO103" i="3"/>
  <c r="AN81" i="3"/>
  <c r="AK56" i="3"/>
  <c r="AN93" i="3"/>
  <c r="AN123" i="3"/>
  <c r="AP75" i="3"/>
  <c r="AO75" i="3"/>
  <c r="AN97" i="3"/>
  <c r="AP135" i="3"/>
  <c r="AO135" i="3"/>
  <c r="AN121" i="3"/>
  <c r="AP127" i="3"/>
  <c r="AO127" i="3"/>
  <c r="AP73" i="3"/>
  <c r="AO73" i="3"/>
  <c r="AP129" i="3"/>
  <c r="AO129" i="3"/>
  <c r="AP87" i="3"/>
  <c r="AO87" i="3"/>
  <c r="AP137" i="3"/>
  <c r="AO137" i="3"/>
  <c r="AM54" i="3"/>
  <c r="AM55" i="3" s="1"/>
  <c r="AN115" i="3"/>
  <c r="AN99" i="3"/>
  <c r="AN79" i="3"/>
  <c r="AN105" i="3"/>
  <c r="AN107" i="3" s="1"/>
  <c r="AN109" i="3"/>
  <c r="AN113" i="3" s="1"/>
  <c r="AJ266" i="3" l="1"/>
  <c r="AJ261" i="3"/>
  <c r="AI220" i="3"/>
  <c r="AM52" i="3"/>
  <c r="AN119" i="3"/>
  <c r="AN125" i="3"/>
  <c r="AK13" i="3"/>
  <c r="AD18" i="3"/>
  <c r="AE18" i="3"/>
  <c r="AE246" i="3"/>
  <c r="AF250" i="3"/>
  <c r="AJ245" i="3"/>
  <c r="AC252" i="3"/>
  <c r="AC66" i="3"/>
  <c r="AA69" i="3"/>
  <c r="AC176" i="3"/>
  <c r="AC145" i="3"/>
  <c r="AA180" i="3"/>
  <c r="AC162" i="3"/>
  <c r="AA165" i="3"/>
  <c r="AA166" i="3" s="1"/>
  <c r="AJ179" i="3"/>
  <c r="AN83" i="3"/>
  <c r="AO77" i="3"/>
  <c r="AN101" i="3"/>
  <c r="AP142" i="3"/>
  <c r="AP77" i="3"/>
  <c r="AN95" i="3"/>
  <c r="AP132" i="3"/>
  <c r="AO132" i="3"/>
  <c r="AO142" i="3"/>
  <c r="AJ220" i="3"/>
  <c r="AM163" i="3"/>
  <c r="AK67" i="3"/>
  <c r="AM53" i="3"/>
  <c r="O249" i="3"/>
  <c r="O255" i="3" s="1"/>
  <c r="O285" i="3" s="1"/>
  <c r="K249" i="3"/>
  <c r="K255" i="3" s="1"/>
  <c r="K285" i="3" s="1"/>
  <c r="L249" i="3"/>
  <c r="L255" i="3" s="1"/>
  <c r="L285" i="3" s="1"/>
  <c r="M244" i="3"/>
  <c r="M344" i="3" s="1"/>
  <c r="M346" i="3" s="1"/>
  <c r="AM56" i="3"/>
  <c r="AN51" i="3"/>
  <c r="AP79" i="3"/>
  <c r="AO79" i="3"/>
  <c r="AP115" i="3"/>
  <c r="AO115" i="3"/>
  <c r="AP93" i="3"/>
  <c r="AO93" i="3"/>
  <c r="AP117" i="3"/>
  <c r="AO117" i="3"/>
  <c r="AP81" i="3"/>
  <c r="AO81" i="3"/>
  <c r="AP109" i="3"/>
  <c r="AP113" i="3" s="1"/>
  <c r="AO109" i="3"/>
  <c r="AO113" i="3" s="1"/>
  <c r="AN54" i="3"/>
  <c r="AN55" i="3" s="1"/>
  <c r="AP105" i="3"/>
  <c r="AP107" i="3" s="1"/>
  <c r="AO105" i="3"/>
  <c r="AO107" i="3" s="1"/>
  <c r="AP99" i="3"/>
  <c r="AO99" i="3"/>
  <c r="AP121" i="3"/>
  <c r="AO121" i="3"/>
  <c r="AP97" i="3"/>
  <c r="AO97" i="3"/>
  <c r="AP123" i="3"/>
  <c r="AO123" i="3"/>
  <c r="AP91" i="3"/>
  <c r="AO91" i="3"/>
  <c r="AP85" i="3"/>
  <c r="AP89" i="3" s="1"/>
  <c r="AO85" i="3"/>
  <c r="AO89" i="3" s="1"/>
  <c r="W13" i="3"/>
  <c r="V216" i="3"/>
  <c r="W245" i="3"/>
  <c r="X216" i="3"/>
  <c r="AK261" i="3" l="1"/>
  <c r="AK266" i="3"/>
  <c r="AL266" i="3" s="1"/>
  <c r="AN52" i="3"/>
  <c r="AL13" i="3"/>
  <c r="AK65" i="3"/>
  <c r="AK19" i="3" s="1"/>
  <c r="AK181" i="3" s="1"/>
  <c r="AM65" i="3"/>
  <c r="AM19" i="3" s="1"/>
  <c r="AM181" i="3" s="1"/>
  <c r="AO101" i="3"/>
  <c r="AA70" i="3"/>
  <c r="AB69" i="3"/>
  <c r="AB70" i="3" s="1"/>
  <c r="W315" i="3"/>
  <c r="W308" i="3"/>
  <c r="AF246" i="3"/>
  <c r="AG250" i="3"/>
  <c r="AH250" i="3"/>
  <c r="AM13" i="3"/>
  <c r="AK325" i="3"/>
  <c r="AL309" i="3"/>
  <c r="AK245" i="3"/>
  <c r="AJ325" i="3"/>
  <c r="AC165" i="3"/>
  <c r="AC166" i="3" s="1"/>
  <c r="AC69" i="3"/>
  <c r="AC70" i="3" s="1"/>
  <c r="AC180" i="3"/>
  <c r="W309" i="3"/>
  <c r="V275" i="3"/>
  <c r="AK179" i="3"/>
  <c r="M222" i="3"/>
  <c r="AP101" i="3"/>
  <c r="AP95" i="3"/>
  <c r="AP125" i="3"/>
  <c r="AO83" i="3"/>
  <c r="AO95" i="3"/>
  <c r="AP83" i="3"/>
  <c r="AO119" i="3"/>
  <c r="AO125" i="3"/>
  <c r="AP119" i="3"/>
  <c r="AD251" i="3"/>
  <c r="W220" i="3"/>
  <c r="AN163" i="3"/>
  <c r="AM67" i="3"/>
  <c r="AN56" i="3"/>
  <c r="M249" i="3"/>
  <c r="M255" i="3" s="1"/>
  <c r="M285" i="3" s="1"/>
  <c r="AN53" i="3"/>
  <c r="AP51" i="3"/>
  <c r="AO54" i="3"/>
  <c r="AO55" i="3" s="1"/>
  <c r="AO51" i="3"/>
  <c r="AP54" i="3"/>
  <c r="AP55" i="3" s="1"/>
  <c r="W216" i="3"/>
  <c r="Y216" i="3"/>
  <c r="AM266" i="3" l="1"/>
  <c r="AM261" i="3"/>
  <c r="AK220" i="3"/>
  <c r="AL19" i="3"/>
  <c r="AO52" i="3"/>
  <c r="AP52" i="3"/>
  <c r="AL322" i="3"/>
  <c r="AL325" i="3" s="1"/>
  <c r="AN13" i="3"/>
  <c r="AF18" i="3"/>
  <c r="AG18" i="3" s="1"/>
  <c r="AG307" i="3"/>
  <c r="AH246" i="3"/>
  <c r="AI250" i="3"/>
  <c r="AH18" i="3"/>
  <c r="AM245" i="3"/>
  <c r="W275" i="3"/>
  <c r="X275" i="3"/>
  <c r="Y275" i="3" s="1"/>
  <c r="Z275" i="3" s="1"/>
  <c r="AA275" i="3" s="1"/>
  <c r="AL245" i="3"/>
  <c r="AG246" i="3"/>
  <c r="AG316" i="3"/>
  <c r="AE251" i="3"/>
  <c r="AD252" i="3"/>
  <c r="AM179" i="3"/>
  <c r="AM220" i="3"/>
  <c r="AP163" i="3"/>
  <c r="AO163" i="3"/>
  <c r="AN67" i="3"/>
  <c r="AO53" i="3"/>
  <c r="AP53" i="3"/>
  <c r="AP56" i="3"/>
  <c r="AO56" i="3"/>
  <c r="W274" i="3"/>
  <c r="Z216" i="3"/>
  <c r="P337" i="3"/>
  <c r="AN261" i="3" l="1"/>
  <c r="AN266" i="3"/>
  <c r="AN65" i="3"/>
  <c r="AN19" i="3" s="1"/>
  <c r="AN181" i="3" s="1"/>
  <c r="AN325" i="3"/>
  <c r="AJ250" i="3"/>
  <c r="AI246" i="3"/>
  <c r="AM325" i="3"/>
  <c r="AB275" i="3"/>
  <c r="AC275" i="3"/>
  <c r="AD275" i="3" s="1"/>
  <c r="AE275" i="3" s="1"/>
  <c r="AF275" i="3" s="1"/>
  <c r="AP13" i="3"/>
  <c r="AO13" i="3"/>
  <c r="AN245" i="3"/>
  <c r="AF251" i="3"/>
  <c r="AH251" i="3" s="1"/>
  <c r="AH252" i="3" s="1"/>
  <c r="AE252" i="3"/>
  <c r="AD145" i="3"/>
  <c r="AD176" i="3"/>
  <c r="AD66" i="3"/>
  <c r="AD162" i="3"/>
  <c r="AN179" i="3"/>
  <c r="AP67" i="3"/>
  <c r="AO67" i="3"/>
  <c r="P339" i="3"/>
  <c r="AO266" i="3" l="1"/>
  <c r="AP266" i="3" s="1"/>
  <c r="AO261" i="3"/>
  <c r="AP261" i="3" s="1"/>
  <c r="AO65" i="3"/>
  <c r="AO19" i="3" s="1"/>
  <c r="AO181" i="3" s="1"/>
  <c r="AN220" i="3"/>
  <c r="AP65" i="3"/>
  <c r="AP19" i="3" s="1"/>
  <c r="AP181" i="3" s="1"/>
  <c r="AP325" i="3"/>
  <c r="AB315" i="3"/>
  <c r="AB308" i="3"/>
  <c r="AG275" i="3"/>
  <c r="AH275" i="3"/>
  <c r="AI275" i="3" s="1"/>
  <c r="AJ275" i="3" s="1"/>
  <c r="AK275" i="3" s="1"/>
  <c r="AI18" i="3"/>
  <c r="AO245" i="3"/>
  <c r="AP245" i="3" s="1"/>
  <c r="AQ13" i="3"/>
  <c r="AJ18" i="3"/>
  <c r="AK250" i="3"/>
  <c r="AJ246" i="3"/>
  <c r="AQ266" i="3"/>
  <c r="AE145" i="3"/>
  <c r="AG251" i="3"/>
  <c r="AG252" i="3" s="1"/>
  <c r="AF252" i="3"/>
  <c r="AE162" i="3"/>
  <c r="AD165" i="3"/>
  <c r="AD166" i="3" s="1"/>
  <c r="AE66" i="3"/>
  <c r="AD69" i="3"/>
  <c r="AD70" i="3" s="1"/>
  <c r="AD180" i="3"/>
  <c r="AE176" i="3"/>
  <c r="AP179" i="3"/>
  <c r="AO179" i="3"/>
  <c r="AC216" i="3"/>
  <c r="P244" i="3"/>
  <c r="P344" i="3" s="1"/>
  <c r="P346" i="3" s="1"/>
  <c r="Q338" i="3"/>
  <c r="AO220" i="3" l="1"/>
  <c r="AP220" i="3"/>
  <c r="AQ19" i="3"/>
  <c r="AQ309" i="3"/>
  <c r="AQ245" i="3"/>
  <c r="AM250" i="3"/>
  <c r="AL250" i="3"/>
  <c r="AK246" i="3"/>
  <c r="AO325" i="3"/>
  <c r="AQ322" i="3"/>
  <c r="AL275" i="3"/>
  <c r="AM275" i="3"/>
  <c r="AN275" i="3" s="1"/>
  <c r="AO275" i="3" s="1"/>
  <c r="AP275" i="3" s="1"/>
  <c r="AQ275" i="3" s="1"/>
  <c r="AF66" i="3"/>
  <c r="AE69" i="3"/>
  <c r="AE70" i="3" s="1"/>
  <c r="AE180" i="3"/>
  <c r="AF176" i="3"/>
  <c r="AF162" i="3"/>
  <c r="AE165" i="3"/>
  <c r="AE166" i="3" s="1"/>
  <c r="AF145" i="3"/>
  <c r="AA216" i="3"/>
  <c r="AD216" i="3"/>
  <c r="P249" i="3"/>
  <c r="AQ325" i="3" l="1"/>
  <c r="AM246" i="3"/>
  <c r="AN250" i="3"/>
  <c r="AN18" i="3" s="1"/>
  <c r="AK18" i="3"/>
  <c r="AL18" i="3" s="1"/>
  <c r="AL307" i="3"/>
  <c r="AL246" i="3"/>
  <c r="AL316" i="3"/>
  <c r="AH145" i="3"/>
  <c r="AH176" i="3"/>
  <c r="AH162" i="3"/>
  <c r="AF165" i="3"/>
  <c r="AF166" i="3" s="1"/>
  <c r="AH66" i="3"/>
  <c r="AF69" i="3"/>
  <c r="AF70" i="3" s="1"/>
  <c r="AF180" i="3"/>
  <c r="AI251" i="3"/>
  <c r="AB220" i="3"/>
  <c r="P255" i="3"/>
  <c r="AB216" i="3"/>
  <c r="AE216" i="3"/>
  <c r="AN246" i="3" l="1"/>
  <c r="AO250" i="3"/>
  <c r="AM18" i="3"/>
  <c r="AJ251" i="3"/>
  <c r="AI252" i="3"/>
  <c r="AH165" i="3"/>
  <c r="AH166" i="3" s="1"/>
  <c r="AH69" i="3"/>
  <c r="AH70" i="3" s="1"/>
  <c r="AH180" i="3"/>
  <c r="AI176" i="3"/>
  <c r="AG315" i="3" l="1"/>
  <c r="AP250" i="3"/>
  <c r="AO246" i="3"/>
  <c r="AG308" i="3"/>
  <c r="AK251" i="3"/>
  <c r="AM251" i="3" s="1"/>
  <c r="AM252" i="3" s="1"/>
  <c r="AJ252" i="3"/>
  <c r="AI162" i="3"/>
  <c r="AI165" i="3" s="1"/>
  <c r="AI166" i="3" s="1"/>
  <c r="AI66" i="3"/>
  <c r="AI145" i="3"/>
  <c r="AF216" i="3"/>
  <c r="AH216" i="3"/>
  <c r="AP18" i="3" l="1"/>
  <c r="AP246" i="3"/>
  <c r="AQ250" i="3"/>
  <c r="AO18" i="3"/>
  <c r="AI180" i="3"/>
  <c r="AL251" i="3"/>
  <c r="AL252" i="3" s="1"/>
  <c r="AK252" i="3"/>
  <c r="AJ145" i="3"/>
  <c r="AJ176" i="3"/>
  <c r="AJ66" i="3"/>
  <c r="AI69" i="3"/>
  <c r="AI70" i="3" s="1"/>
  <c r="AJ162" i="3"/>
  <c r="AG220" i="3"/>
  <c r="AG216" i="3"/>
  <c r="AI216" i="3"/>
  <c r="AQ307" i="3" l="1"/>
  <c r="AQ18" i="3"/>
  <c r="AQ246" i="3"/>
  <c r="AQ316" i="3"/>
  <c r="AK66" i="3"/>
  <c r="AJ69" i="3"/>
  <c r="AJ70" i="3" s="1"/>
  <c r="AJ180" i="3"/>
  <c r="AK176" i="3"/>
  <c r="AK162" i="3"/>
  <c r="AJ165" i="3"/>
  <c r="AJ166" i="3" s="1"/>
  <c r="AK145" i="3"/>
  <c r="AJ216" i="3"/>
  <c r="AM176" i="3" l="1"/>
  <c r="AM145" i="3"/>
  <c r="AM162" i="3"/>
  <c r="AK165" i="3"/>
  <c r="AK166" i="3" s="1"/>
  <c r="AM66" i="3"/>
  <c r="AK69" i="3"/>
  <c r="AK70" i="3" s="1"/>
  <c r="AK180" i="3"/>
  <c r="AN251" i="3"/>
  <c r="AL308" i="3" l="1"/>
  <c r="AL315" i="3"/>
  <c r="AN252" i="3"/>
  <c r="AO251" i="3"/>
  <c r="AM165" i="3"/>
  <c r="AM166" i="3" s="1"/>
  <c r="AM69" i="3"/>
  <c r="AM70" i="3" s="1"/>
  <c r="AM180" i="3"/>
  <c r="AM216" i="3"/>
  <c r="AK216" i="3"/>
  <c r="AP251" i="3" l="1"/>
  <c r="AO252" i="3"/>
  <c r="AN66" i="3"/>
  <c r="AN176" i="3"/>
  <c r="AN145" i="3"/>
  <c r="AN162" i="3"/>
  <c r="AL220" i="3"/>
  <c r="AN216" i="3"/>
  <c r="AO216" i="3"/>
  <c r="AL216" i="3"/>
  <c r="AQ251" i="3" l="1"/>
  <c r="AQ252" i="3" s="1"/>
  <c r="AP252" i="3"/>
  <c r="AO176" i="3"/>
  <c r="AO66" i="3"/>
  <c r="AN69" i="3"/>
  <c r="AN70" i="3" s="1"/>
  <c r="AO162" i="3"/>
  <c r="AN165" i="3"/>
  <c r="AN166" i="3" s="1"/>
  <c r="AO145" i="3"/>
  <c r="AN180" i="3"/>
  <c r="AP145" i="3" l="1"/>
  <c r="AP162" i="3"/>
  <c r="AP165" i="3" s="1"/>
  <c r="AP166" i="3" s="1"/>
  <c r="AO165" i="3"/>
  <c r="AO166" i="3" s="1"/>
  <c r="AP176" i="3"/>
  <c r="AP66" i="3"/>
  <c r="AO69" i="3"/>
  <c r="AO70" i="3" s="1"/>
  <c r="AO180" i="3"/>
  <c r="AQ315" i="3" l="1"/>
  <c r="AQ308" i="3"/>
  <c r="AP69" i="3"/>
  <c r="AP70" i="3" s="1"/>
  <c r="AP180" i="3"/>
  <c r="AP216" i="3"/>
  <c r="AQ220" i="3" l="1"/>
  <c r="AQ216" i="3"/>
  <c r="R45" i="3" l="1"/>
  <c r="R46" i="3" s="1"/>
  <c r="W45" i="3" l="1"/>
  <c r="W46" i="3" l="1"/>
  <c r="AB46" i="3"/>
  <c r="R18" i="3"/>
  <c r="P262" i="3" l="1"/>
  <c r="P270" i="3" s="1"/>
  <c r="P284" i="3" s="1"/>
  <c r="P285" i="3" s="1"/>
  <c r="R259" i="3" l="1"/>
  <c r="Q148" i="3" l="1"/>
  <c r="Q143" i="3" s="1"/>
  <c r="R17" i="3"/>
  <c r="Q219" i="3"/>
  <c r="R20" i="3"/>
  <c r="R21" i="3"/>
  <c r="Q147" i="3"/>
  <c r="R15" i="3"/>
  <c r="T146" i="3" l="1"/>
  <c r="S146" i="3"/>
  <c r="Q149" i="3"/>
  <c r="Q24" i="3"/>
  <c r="R16" i="3"/>
  <c r="R219" i="3" s="1"/>
  <c r="R218" i="3"/>
  <c r="Q218" i="3"/>
  <c r="R23" i="3"/>
  <c r="S20" i="3" l="1"/>
  <c r="S23" i="3"/>
  <c r="S16" i="3"/>
  <c r="S17" i="3"/>
  <c r="S15" i="3"/>
  <c r="T148" i="3"/>
  <c r="T149" i="3" s="1"/>
  <c r="T17" i="3"/>
  <c r="T15" i="3"/>
  <c r="T259" i="3" s="1"/>
  <c r="T16" i="3"/>
  <c r="T219" i="3" s="1"/>
  <c r="T20" i="3"/>
  <c r="T23" i="3"/>
  <c r="R24" i="3"/>
  <c r="R25" i="3" s="1"/>
  <c r="R217" i="3" s="1"/>
  <c r="U146" i="3"/>
  <c r="S148" i="3"/>
  <c r="S149" i="3" s="1"/>
  <c r="Q25" i="3"/>
  <c r="Q217" i="3" s="1"/>
  <c r="Q177" i="3"/>
  <c r="Q182" i="3" s="1"/>
  <c r="R36" i="3"/>
  <c r="R260" i="3"/>
  <c r="S259" i="3" l="1"/>
  <c r="S24" i="3"/>
  <c r="S25" i="3" s="1"/>
  <c r="S27" i="3" s="1"/>
  <c r="V146" i="3"/>
  <c r="U148" i="3"/>
  <c r="U149" i="3" s="1"/>
  <c r="U16" i="3"/>
  <c r="U219" i="3" s="1"/>
  <c r="U17" i="3"/>
  <c r="U23" i="3"/>
  <c r="U15" i="3"/>
  <c r="U20" i="3"/>
  <c r="Q34" i="3"/>
  <c r="Q35" i="3" s="1"/>
  <c r="Q301" i="3" s="1"/>
  <c r="Q27" i="3"/>
  <c r="Q39" i="3" s="1"/>
  <c r="Q44" i="3" s="1"/>
  <c r="R34" i="3"/>
  <c r="R35" i="3" s="1"/>
  <c r="R301" i="3" s="1"/>
  <c r="R27" i="3"/>
  <c r="R39" i="3" s="1"/>
  <c r="R44" i="3" s="1"/>
  <c r="Q183" i="3"/>
  <c r="S218" i="3"/>
  <c r="S182" i="3"/>
  <c r="S260" i="3"/>
  <c r="S219" i="3"/>
  <c r="T218" i="3"/>
  <c r="T182" i="3"/>
  <c r="T24" i="3"/>
  <c r="T25" i="3" s="1"/>
  <c r="Q221" i="3" l="1"/>
  <c r="U259" i="3"/>
  <c r="S217" i="3"/>
  <c r="T27" i="3"/>
  <c r="T217" i="3"/>
  <c r="V148" i="3"/>
  <c r="V149" i="3" s="1"/>
  <c r="V23" i="3"/>
  <c r="W23" i="3" s="1"/>
  <c r="V17" i="3"/>
  <c r="W17" i="3" s="1"/>
  <c r="V15" i="3"/>
  <c r="V259" i="3" s="1"/>
  <c r="W259" i="3" s="1"/>
  <c r="V16" i="3"/>
  <c r="V20" i="3"/>
  <c r="W20" i="3" s="1"/>
  <c r="Q37" i="3"/>
  <c r="Q42" i="3" s="1"/>
  <c r="R221" i="3"/>
  <c r="R37" i="3"/>
  <c r="R43" i="3" s="1"/>
  <c r="S183" i="3"/>
  <c r="X146" i="3"/>
  <c r="T183" i="3"/>
  <c r="U218" i="3"/>
  <c r="U182" i="3"/>
  <c r="U24" i="3"/>
  <c r="U25" i="3" s="1"/>
  <c r="W21" i="3"/>
  <c r="T260" i="3"/>
  <c r="U27" i="3" l="1"/>
  <c r="U217" i="3"/>
  <c r="Q306" i="3"/>
  <c r="Q320" i="3" s="1"/>
  <c r="Q353" i="3" s="1"/>
  <c r="R306" i="3"/>
  <c r="R320" i="3" s="1"/>
  <c r="R340" i="3" s="1"/>
  <c r="X17" i="3"/>
  <c r="X20" i="3"/>
  <c r="X16" i="3"/>
  <c r="X23" i="3"/>
  <c r="X15" i="3"/>
  <c r="X259" i="3" s="1"/>
  <c r="X148" i="3"/>
  <c r="X149" i="3" s="1"/>
  <c r="R42" i="3"/>
  <c r="Q43" i="3"/>
  <c r="W15" i="3"/>
  <c r="W218" i="3" s="1"/>
  <c r="V182" i="3"/>
  <c r="Y146" i="3"/>
  <c r="V219" i="3"/>
  <c r="W16" i="3"/>
  <c r="W219" i="3" s="1"/>
  <c r="V218" i="3"/>
  <c r="V24" i="3"/>
  <c r="V25" i="3" s="1"/>
  <c r="U183" i="3"/>
  <c r="U260" i="3"/>
  <c r="R353" i="3" l="1"/>
  <c r="V27" i="3"/>
  <c r="V217" i="3"/>
  <c r="Y16" i="3"/>
  <c r="Y219" i="3" s="1"/>
  <c r="Y23" i="3"/>
  <c r="Y15" i="3"/>
  <c r="Y259" i="3" s="1"/>
  <c r="Y20" i="3"/>
  <c r="Y17" i="3"/>
  <c r="X24" i="3"/>
  <c r="X25" i="3" s="1"/>
  <c r="X217" i="3" s="1"/>
  <c r="Y148" i="3"/>
  <c r="Y149" i="3" s="1"/>
  <c r="Z146" i="3"/>
  <c r="W24" i="3"/>
  <c r="W25" i="3" s="1"/>
  <c r="W217" i="3" s="1"/>
  <c r="V260" i="3"/>
  <c r="R276" i="3"/>
  <c r="R283" i="3" s="1"/>
  <c r="X182" i="3"/>
  <c r="X218" i="3"/>
  <c r="V183" i="3"/>
  <c r="X219" i="3"/>
  <c r="Y24" i="3" l="1"/>
  <c r="Y25" i="3" s="1"/>
  <c r="X27" i="3"/>
  <c r="Z17" i="3"/>
  <c r="Z23" i="3"/>
  <c r="Z20" i="3"/>
  <c r="Z16" i="3"/>
  <c r="Z219" i="3" s="1"/>
  <c r="Z15" i="3"/>
  <c r="Z259" i="3" s="1"/>
  <c r="W260" i="3"/>
  <c r="X260" i="3"/>
  <c r="Z148" i="3"/>
  <c r="Z149" i="3" s="1"/>
  <c r="W27" i="3"/>
  <c r="AA146" i="3"/>
  <c r="W318" i="3"/>
  <c r="Y218" i="3"/>
  <c r="Y182" i="3"/>
  <c r="X183" i="3"/>
  <c r="Y27" i="3" l="1"/>
  <c r="Y217" i="3"/>
  <c r="AA15" i="3"/>
  <c r="AA259" i="3" s="1"/>
  <c r="AB259" i="3" s="1"/>
  <c r="AA20" i="3"/>
  <c r="AB20" i="3" s="1"/>
  <c r="AA23" i="3"/>
  <c r="AB23" i="3" s="1"/>
  <c r="AA17" i="3"/>
  <c r="AB17" i="3" s="1"/>
  <c r="AA16" i="3"/>
  <c r="AB16" i="3" s="1"/>
  <c r="Z24" i="3"/>
  <c r="Z25" i="3" s="1"/>
  <c r="Y260" i="3"/>
  <c r="AA148" i="3"/>
  <c r="AA149" i="3" s="1"/>
  <c r="AC146" i="3"/>
  <c r="Y183" i="3"/>
  <c r="Z218" i="3"/>
  <c r="Z182" i="3"/>
  <c r="R263" i="3"/>
  <c r="Q262" i="3"/>
  <c r="Q270" i="3" s="1"/>
  <c r="R257" i="3"/>
  <c r="R258" i="3"/>
  <c r="R223" i="3" l="1"/>
  <c r="Z27" i="3"/>
  <c r="Z217" i="3"/>
  <c r="AA219" i="3"/>
  <c r="AA24" i="3"/>
  <c r="AA25" i="3" s="1"/>
  <c r="AB15" i="3"/>
  <c r="AB24" i="3" s="1"/>
  <c r="AB25" i="3" s="1"/>
  <c r="AC16" i="3"/>
  <c r="AC23" i="3"/>
  <c r="AC15" i="3"/>
  <c r="AC259" i="3" s="1"/>
  <c r="AC17" i="3"/>
  <c r="AC20" i="3"/>
  <c r="Z260" i="3"/>
  <c r="AC148" i="3"/>
  <c r="AC149" i="3" s="1"/>
  <c r="R345" i="3"/>
  <c r="AB219" i="3"/>
  <c r="AD146" i="3"/>
  <c r="R262" i="3"/>
  <c r="Z183" i="3"/>
  <c r="Q335" i="3"/>
  <c r="Q337" i="3" s="1"/>
  <c r="Q339" i="3" s="1"/>
  <c r="Q244" i="3" s="1"/>
  <c r="R335" i="3"/>
  <c r="R337" i="3" s="1"/>
  <c r="R339" i="3" s="1"/>
  <c r="AA182" i="3"/>
  <c r="AA218" i="3"/>
  <c r="S223" i="3" l="1"/>
  <c r="S29" i="3" s="1"/>
  <c r="AB27" i="3"/>
  <c r="AB217" i="3"/>
  <c r="AA27" i="3"/>
  <c r="AA217" i="3"/>
  <c r="AD17" i="3"/>
  <c r="AD20" i="3"/>
  <c r="AD16" i="3"/>
  <c r="AD219" i="3" s="1"/>
  <c r="AD23" i="3"/>
  <c r="AD15" i="3"/>
  <c r="AD259" i="3" s="1"/>
  <c r="AC24" i="3"/>
  <c r="AC25" i="3" s="1"/>
  <c r="AC217" i="3" s="1"/>
  <c r="AB218" i="3"/>
  <c r="T223" i="3"/>
  <c r="U223" i="3" s="1"/>
  <c r="V223" i="3" s="1"/>
  <c r="Q344" i="3"/>
  <c r="Q346" i="3" s="1"/>
  <c r="AA260" i="3"/>
  <c r="W338" i="3"/>
  <c r="S338" i="3"/>
  <c r="AD148" i="3"/>
  <c r="AD149" i="3" s="1"/>
  <c r="AE146" i="3"/>
  <c r="R244" i="3"/>
  <c r="R222" i="3" s="1"/>
  <c r="S222" i="3" s="1"/>
  <c r="Q249" i="3"/>
  <c r="Q255" i="3" s="1"/>
  <c r="AA183" i="3"/>
  <c r="AC218" i="3"/>
  <c r="AC182" i="3"/>
  <c r="AC219" i="3"/>
  <c r="M342" i="3" l="1"/>
  <c r="H342" i="3"/>
  <c r="R342" i="3"/>
  <c r="R344" i="3"/>
  <c r="R346" i="3" s="1"/>
  <c r="AC27" i="3"/>
  <c r="AE16" i="3"/>
  <c r="AE219" i="3" s="1"/>
  <c r="AE17" i="3"/>
  <c r="AE15" i="3"/>
  <c r="AE259" i="3" s="1"/>
  <c r="AE20" i="3"/>
  <c r="AE23" i="3"/>
  <c r="AD24" i="3"/>
  <c r="AD25" i="3" s="1"/>
  <c r="AB260" i="3"/>
  <c r="AC260" i="3"/>
  <c r="AB318" i="3"/>
  <c r="AE148" i="3"/>
  <c r="AE149" i="3" s="1"/>
  <c r="AF146" i="3"/>
  <c r="AD182" i="3"/>
  <c r="AD218" i="3"/>
  <c r="AC183" i="3"/>
  <c r="R249" i="3"/>
  <c r="R255" i="3" s="1"/>
  <c r="AD27" i="3" l="1"/>
  <c r="AD217" i="3"/>
  <c r="AE24" i="3"/>
  <c r="AE25" i="3" s="1"/>
  <c r="T222" i="3"/>
  <c r="U222" i="3" s="1"/>
  <c r="V222" i="3" s="1"/>
  <c r="S30" i="3"/>
  <c r="AF20" i="3"/>
  <c r="AG20" i="3" s="1"/>
  <c r="AF15" i="3"/>
  <c r="AF16" i="3"/>
  <c r="AG16" i="3" s="1"/>
  <c r="AF23" i="3"/>
  <c r="AG23" i="3" s="1"/>
  <c r="AF17" i="3"/>
  <c r="AG17" i="3" s="1"/>
  <c r="AD260" i="3"/>
  <c r="AF148" i="3"/>
  <c r="AF149" i="3" s="1"/>
  <c r="AH146" i="3"/>
  <c r="AE182" i="3"/>
  <c r="AE218" i="3"/>
  <c r="AD183" i="3"/>
  <c r="AG15" i="3" l="1"/>
  <c r="AG218" i="3" s="1"/>
  <c r="AF259" i="3"/>
  <c r="AG259" i="3" s="1"/>
  <c r="AE27" i="3"/>
  <c r="AE217" i="3"/>
  <c r="AH17" i="3"/>
  <c r="AH23" i="3"/>
  <c r="AH20" i="3"/>
  <c r="AH16" i="3"/>
  <c r="AH15" i="3"/>
  <c r="AF24" i="3"/>
  <c r="AF25" i="3" s="1"/>
  <c r="AE260" i="3"/>
  <c r="AH148" i="3"/>
  <c r="AH149" i="3" s="1"/>
  <c r="AI146" i="3"/>
  <c r="AF219" i="3"/>
  <c r="AG219" i="3"/>
  <c r="AF218" i="3"/>
  <c r="AF182" i="3"/>
  <c r="AE183" i="3"/>
  <c r="AG24" i="3" l="1"/>
  <c r="AG25" i="3" s="1"/>
  <c r="AG217" i="3" s="1"/>
  <c r="AH259" i="3"/>
  <c r="AF27" i="3"/>
  <c r="AF217" i="3"/>
  <c r="AI23" i="3"/>
  <c r="AI15" i="3"/>
  <c r="AI259" i="3" s="1"/>
  <c r="AI16" i="3"/>
  <c r="AI219" i="3" s="1"/>
  <c r="AI20" i="3"/>
  <c r="AI17" i="3"/>
  <c r="AH24" i="3"/>
  <c r="AH25" i="3" s="1"/>
  <c r="AH217" i="3" s="1"/>
  <c r="AF260" i="3"/>
  <c r="AI148" i="3"/>
  <c r="AI149" i="3" s="1"/>
  <c r="AJ146" i="3"/>
  <c r="AH219" i="3"/>
  <c r="AF183" i="3"/>
  <c r="AH218" i="3"/>
  <c r="AH182" i="3"/>
  <c r="AG27" i="3" l="1"/>
  <c r="AH27" i="3"/>
  <c r="AJ17" i="3"/>
  <c r="AJ15" i="3"/>
  <c r="AJ259" i="3" s="1"/>
  <c r="AJ16" i="3"/>
  <c r="AJ219" i="3" s="1"/>
  <c r="AJ20" i="3"/>
  <c r="AJ23" i="3"/>
  <c r="AI24" i="3"/>
  <c r="AI25" i="3" s="1"/>
  <c r="AG260" i="3"/>
  <c r="AG318" i="3"/>
  <c r="AH260" i="3"/>
  <c r="AJ148" i="3"/>
  <c r="AJ149" i="3" s="1"/>
  <c r="AK146" i="3"/>
  <c r="AH183" i="3"/>
  <c r="AI218" i="3"/>
  <c r="AI182" i="3"/>
  <c r="AI27" i="3" l="1"/>
  <c r="AI217" i="3"/>
  <c r="AJ24" i="3"/>
  <c r="AJ25" i="3" s="1"/>
  <c r="AK23" i="3"/>
  <c r="AL23" i="3" s="1"/>
  <c r="AK16" i="3"/>
  <c r="AL16" i="3" s="1"/>
  <c r="AK17" i="3"/>
  <c r="AL17" i="3" s="1"/>
  <c r="AK20" i="3"/>
  <c r="AL20" i="3" s="1"/>
  <c r="AK15" i="3"/>
  <c r="AK259" i="3" s="1"/>
  <c r="AL259" i="3" s="1"/>
  <c r="AI260" i="3"/>
  <c r="AK148" i="3"/>
  <c r="AK149" i="3" s="1"/>
  <c r="AM146" i="3"/>
  <c r="AJ182" i="3"/>
  <c r="AJ218" i="3"/>
  <c r="AI183" i="3"/>
  <c r="AJ27" i="3" l="1"/>
  <c r="AJ217" i="3"/>
  <c r="AM16" i="3"/>
  <c r="AM17" i="3"/>
  <c r="AM15" i="3"/>
  <c r="AM259" i="3" s="1"/>
  <c r="AM20" i="3"/>
  <c r="AM23" i="3"/>
  <c r="AK219" i="3"/>
  <c r="AK24" i="3"/>
  <c r="AK25" i="3" s="1"/>
  <c r="AL15" i="3"/>
  <c r="AL24" i="3" s="1"/>
  <c r="AL25" i="3" s="1"/>
  <c r="AJ260" i="3"/>
  <c r="AM148" i="3"/>
  <c r="AM149" i="3" s="1"/>
  <c r="AN146" i="3"/>
  <c r="AL219" i="3"/>
  <c r="AJ183" i="3"/>
  <c r="AK182" i="3"/>
  <c r="AK218" i="3"/>
  <c r="AK27" i="3" l="1"/>
  <c r="AK217" i="3"/>
  <c r="AL27" i="3"/>
  <c r="AL217" i="3"/>
  <c r="AM24" i="3"/>
  <c r="AM25" i="3" s="1"/>
  <c r="AM217" i="3" s="1"/>
  <c r="AL218" i="3"/>
  <c r="AN23" i="3"/>
  <c r="AN15" i="3"/>
  <c r="AN259" i="3" s="1"/>
  <c r="AN16" i="3"/>
  <c r="AN219" i="3" s="1"/>
  <c r="AN17" i="3"/>
  <c r="AN20" i="3"/>
  <c r="AK260" i="3"/>
  <c r="AN148" i="3"/>
  <c r="AN149" i="3" s="1"/>
  <c r="AP146" i="3"/>
  <c r="AO146" i="3"/>
  <c r="AK183" i="3"/>
  <c r="AM182" i="3"/>
  <c r="AM218" i="3"/>
  <c r="AM219" i="3"/>
  <c r="AN24" i="3" l="1"/>
  <c r="AN25" i="3" s="1"/>
  <c r="AM27" i="3"/>
  <c r="AO17" i="3"/>
  <c r="AO15" i="3"/>
  <c r="AO259" i="3" s="1"/>
  <c r="AO16" i="3"/>
  <c r="AO219" i="3" s="1"/>
  <c r="AO23" i="3"/>
  <c r="AO20" i="3"/>
  <c r="AP17" i="3"/>
  <c r="AP16" i="3"/>
  <c r="AP219" i="3" s="1"/>
  <c r="AP23" i="3"/>
  <c r="AP20" i="3"/>
  <c r="AP15" i="3"/>
  <c r="AP259" i="3" s="1"/>
  <c r="AQ259" i="3" s="1"/>
  <c r="AL260" i="3"/>
  <c r="AM260" i="3"/>
  <c r="AL318" i="3"/>
  <c r="AO148" i="3"/>
  <c r="AO149" i="3" s="1"/>
  <c r="AP148" i="3"/>
  <c r="AP149" i="3" s="1"/>
  <c r="AM183" i="3"/>
  <c r="AN218" i="3"/>
  <c r="AN182" i="3"/>
  <c r="AN27" i="3" l="1"/>
  <c r="AN217" i="3"/>
  <c r="AP24" i="3"/>
  <c r="AP25" i="3" s="1"/>
  <c r="AO24" i="3"/>
  <c r="AO25" i="3" s="1"/>
  <c r="AQ20" i="3"/>
  <c r="AQ17" i="3"/>
  <c r="AQ23" i="3"/>
  <c r="AQ15" i="3"/>
  <c r="AQ16" i="3"/>
  <c r="AQ219" i="3" s="1"/>
  <c r="AN260" i="3"/>
  <c r="AO218" i="3"/>
  <c r="AO182" i="3"/>
  <c r="AN183" i="3"/>
  <c r="AP182" i="3"/>
  <c r="AP218" i="3"/>
  <c r="AP27" i="3" l="1"/>
  <c r="AP217" i="3"/>
  <c r="AO27" i="3"/>
  <c r="AO217" i="3"/>
  <c r="AQ24" i="3"/>
  <c r="AQ25" i="3" s="1"/>
  <c r="AQ218" i="3"/>
  <c r="AO260" i="3"/>
  <c r="AP183" i="3"/>
  <c r="AO183" i="3"/>
  <c r="AQ27" i="3" l="1"/>
  <c r="AQ217" i="3"/>
  <c r="AP260" i="3"/>
  <c r="AQ260" i="3" l="1"/>
  <c r="AQ318" i="3"/>
  <c r="L229" i="3" l="1"/>
  <c r="L225" i="3" s="1"/>
  <c r="L228" i="3"/>
  <c r="R228" i="3"/>
  <c r="O226" i="3"/>
  <c r="O225" i="3"/>
  <c r="O228" i="3"/>
  <c r="Q229" i="3"/>
  <c r="Q225" i="3" s="1"/>
  <c r="S225" i="3" l="1"/>
  <c r="T225" i="3" s="1"/>
  <c r="U225" i="3" s="1"/>
  <c r="V225" i="3" s="1"/>
  <c r="X225" i="3" s="1"/>
  <c r="Y225" i="3" s="1"/>
  <c r="Z225" i="3" s="1"/>
  <c r="AA225" i="3" s="1"/>
  <c r="AC225" i="3" s="1"/>
  <c r="AD225" i="3" s="1"/>
  <c r="AE225" i="3" s="1"/>
  <c r="AF225" i="3" s="1"/>
  <c r="AH225" i="3" s="1"/>
  <c r="AI225" i="3" s="1"/>
  <c r="AJ225" i="3" s="1"/>
  <c r="AK225" i="3" s="1"/>
  <c r="AM225" i="3" s="1"/>
  <c r="AN225" i="3" s="1"/>
  <c r="AO225" i="3" s="1"/>
  <c r="AP225" i="3" s="1"/>
  <c r="Q228" i="3"/>
  <c r="Q226" i="3"/>
  <c r="S226" i="3" s="1"/>
  <c r="T226" i="3" s="1"/>
  <c r="U226" i="3" s="1"/>
  <c r="V226" i="3" s="1"/>
  <c r="X226" i="3" s="1"/>
  <c r="Y226" i="3" s="1"/>
  <c r="Z226" i="3" s="1"/>
  <c r="AA226" i="3" s="1"/>
  <c r="AC226" i="3" s="1"/>
  <c r="AD226" i="3" s="1"/>
  <c r="AE226" i="3" s="1"/>
  <c r="AF226" i="3" s="1"/>
  <c r="AH226" i="3" s="1"/>
  <c r="AI226" i="3" s="1"/>
  <c r="AJ226" i="3" s="1"/>
  <c r="AK226" i="3" s="1"/>
  <c r="AM226" i="3" s="1"/>
  <c r="AN226" i="3" s="1"/>
  <c r="AO226" i="3" s="1"/>
  <c r="AP226" i="3" s="1"/>
  <c r="L226" i="3"/>
  <c r="L227" i="3"/>
  <c r="S282" i="3"/>
  <c r="Q227" i="3"/>
  <c r="T282" i="3" l="1"/>
  <c r="S229" i="3"/>
  <c r="U282" i="3" l="1"/>
  <c r="T229" i="3"/>
  <c r="S41" i="3"/>
  <c r="S40" i="3"/>
  <c r="T41" i="3" l="1"/>
  <c r="T40" i="3"/>
  <c r="U229" i="3"/>
  <c r="V282" i="3" l="1"/>
  <c r="V229" i="3"/>
  <c r="W229" i="3" s="1"/>
  <c r="W332" i="3"/>
  <c r="U40" i="3"/>
  <c r="U41" i="3"/>
  <c r="X282" i="3" l="1"/>
  <c r="W282" i="3"/>
  <c r="V40" i="3"/>
  <c r="X229" i="3"/>
  <c r="V41" i="3"/>
  <c r="X41" i="3" l="1"/>
  <c r="X40" i="3"/>
  <c r="Y282" i="3"/>
  <c r="Y229" i="3"/>
  <c r="Y40" i="3" l="1"/>
  <c r="Y41" i="3"/>
  <c r="Z282" i="3"/>
  <c r="W331" i="3"/>
  <c r="AB332" i="3"/>
  <c r="Z229" i="3"/>
  <c r="AB228" i="3" l="1"/>
  <c r="Z40" i="3"/>
  <c r="Z41" i="3"/>
  <c r="AA282" i="3"/>
  <c r="AA229" i="3"/>
  <c r="AA40" i="3" l="1"/>
  <c r="AB229" i="3"/>
  <c r="AA41" i="3"/>
  <c r="AB331" i="3"/>
  <c r="AC282" i="3"/>
  <c r="AB282" i="3"/>
  <c r="AC229" i="3"/>
  <c r="AC41" i="3" l="1"/>
  <c r="AC40" i="3"/>
  <c r="AD282" i="3"/>
  <c r="AD229" i="3"/>
  <c r="AD41" i="3" l="1"/>
  <c r="AE282" i="3"/>
  <c r="AD40" i="3"/>
  <c r="AE229" i="3"/>
  <c r="AG332" i="3" l="1"/>
  <c r="AG228" i="3"/>
  <c r="AE41" i="3"/>
  <c r="AE40" i="3"/>
  <c r="AF282" i="3"/>
  <c r="AF229" i="3"/>
  <c r="AG229" i="3" s="1"/>
  <c r="AF40" i="3" l="1"/>
  <c r="AG331" i="3" s="1"/>
  <c r="AF41" i="3"/>
  <c r="AH282" i="3"/>
  <c r="AG282" i="3"/>
  <c r="AH229" i="3"/>
  <c r="AQ228" i="3" l="1"/>
  <c r="AH40" i="3"/>
  <c r="AI282" i="3"/>
  <c r="AH41" i="3"/>
  <c r="AI229" i="3"/>
  <c r="AI40" i="3" l="1"/>
  <c r="AJ282" i="3"/>
  <c r="AI41" i="3"/>
  <c r="AL332" i="3"/>
  <c r="AJ229" i="3"/>
  <c r="AL228" i="3" l="1"/>
  <c r="AJ41" i="3"/>
  <c r="AK282" i="3"/>
  <c r="AL282" i="3" s="1"/>
  <c r="AJ40" i="3"/>
  <c r="AK229" i="3"/>
  <c r="AL229" i="3" s="1"/>
  <c r="AK40" i="3" l="1"/>
  <c r="AL331" i="3" s="1"/>
  <c r="AM282" i="3"/>
  <c r="AK41" i="3"/>
  <c r="AM229" i="3"/>
  <c r="AM40" i="3" l="1"/>
  <c r="AM41" i="3"/>
  <c r="AN282" i="3"/>
  <c r="AN229" i="3"/>
  <c r="AN40" i="3" l="1"/>
  <c r="AN41" i="3"/>
  <c r="AO282" i="3"/>
  <c r="AQ332" i="3"/>
  <c r="AO229" i="3"/>
  <c r="AO40" i="3" l="1"/>
  <c r="AP282" i="3"/>
  <c r="AQ282" i="3" s="1"/>
  <c r="AO41" i="3"/>
  <c r="AP229" i="3"/>
  <c r="AP40" i="3" l="1"/>
  <c r="AQ331" i="3" s="1"/>
  <c r="AQ229" i="3"/>
  <c r="AP41" i="3"/>
  <c r="R270" i="3" l="1"/>
  <c r="R284" i="3" s="1"/>
  <c r="R285" i="3" s="1"/>
  <c r="R194" i="3"/>
  <c r="R195" i="3" s="1"/>
  <c r="W194" i="3" l="1"/>
  <c r="W265" i="3" s="1"/>
  <c r="S265" i="3" s="1"/>
  <c r="AB194" i="3" l="1"/>
  <c r="AB265" i="3" s="1"/>
  <c r="W195" i="3"/>
  <c r="AG194" i="3" l="1"/>
  <c r="AG265" i="3" s="1"/>
  <c r="AB195" i="3"/>
  <c r="T265" i="3"/>
  <c r="AL194" i="3" l="1"/>
  <c r="AL265" i="3" s="1"/>
  <c r="U265" i="3"/>
  <c r="AG195" i="3"/>
  <c r="AQ194" i="3" l="1"/>
  <c r="AQ265" i="3" s="1"/>
  <c r="V265" i="3"/>
  <c r="W319" i="3" s="1"/>
  <c r="AL195" i="3"/>
  <c r="AQ195" i="3" l="1"/>
  <c r="X265" i="3"/>
  <c r="W317" i="3"/>
  <c r="Y265" i="3" l="1"/>
  <c r="Z265" i="3" l="1"/>
  <c r="AA265" i="3" s="1"/>
  <c r="Q283" i="3" l="1"/>
  <c r="Q284" i="3" l="1"/>
  <c r="Q285" i="3" s="1"/>
  <c r="Q298" i="3"/>
  <c r="S298" i="3" s="1"/>
  <c r="T298" i="3" s="1"/>
  <c r="U298" i="3" s="1"/>
  <c r="V298" i="3" s="1"/>
  <c r="AC265" i="3"/>
  <c r="AD265" i="3" l="1"/>
  <c r="AE265" i="3" l="1"/>
  <c r="AF265" i="3" l="1"/>
  <c r="AH265" i="3" l="1"/>
  <c r="AI265" i="3" l="1"/>
  <c r="AJ265" i="3" l="1"/>
  <c r="AK265" i="3" l="1"/>
  <c r="AM265" i="3" l="1"/>
  <c r="AN265" i="3" l="1"/>
  <c r="AO265" i="3" l="1"/>
  <c r="AP265" i="3" l="1"/>
  <c r="S31" i="3" l="1"/>
  <c r="S33" i="3" s="1"/>
  <c r="S34" i="3" l="1"/>
  <c r="S35" i="3" l="1"/>
  <c r="S36" i="3"/>
  <c r="S37" i="3" l="1"/>
  <c r="S43" i="3" s="1"/>
  <c r="S39" i="3"/>
  <c r="S44" i="3" l="1"/>
  <c r="S42" i="3"/>
  <c r="S306" i="3"/>
  <c r="S276" i="3" l="1"/>
  <c r="S283" i="3" l="1"/>
  <c r="S263" i="3" s="1"/>
  <c r="S258" i="3" l="1"/>
  <c r="S257" i="3"/>
  <c r="S301" i="3" l="1"/>
  <c r="T29" i="3"/>
  <c r="S335" i="3" l="1"/>
  <c r="S262" i="3" l="1"/>
  <c r="S270" i="3" s="1"/>
  <c r="S284" i="3" s="1"/>
  <c r="S320" i="3" l="1"/>
  <c r="S337" i="3" l="1"/>
  <c r="S339" i="3" s="1"/>
  <c r="T338" i="3" l="1"/>
  <c r="S244" i="3"/>
  <c r="W261" i="3"/>
  <c r="S249" i="3" l="1"/>
  <c r="S255" i="3" s="1"/>
  <c r="S285" i="3" s="1"/>
  <c r="T30" i="3"/>
  <c r="T31" i="3" l="1"/>
  <c r="T33" i="3" s="1"/>
  <c r="T34" i="3" l="1"/>
  <c r="AB261" i="3" l="1"/>
  <c r="AB319" i="3"/>
  <c r="T35" i="3"/>
  <c r="T36" i="3"/>
  <c r="T39" i="3" l="1"/>
  <c r="T37" i="3"/>
  <c r="T44" i="3" l="1"/>
  <c r="T43" i="3"/>
  <c r="T42" i="3"/>
  <c r="T306" i="3"/>
  <c r="T320" i="3" l="1"/>
  <c r="T276" i="3"/>
  <c r="AG319" i="3" l="1"/>
  <c r="AG261" i="3"/>
  <c r="T283" i="3"/>
  <c r="T263" i="3" l="1"/>
  <c r="T258" i="3"/>
  <c r="T257" i="3"/>
  <c r="T301" i="3" l="1"/>
  <c r="T262" i="3"/>
  <c r="T270" i="3" s="1"/>
  <c r="T284" i="3" s="1"/>
  <c r="U29" i="3"/>
  <c r="T335" i="3" l="1"/>
  <c r="T337" i="3" s="1"/>
  <c r="T339" i="3" s="1"/>
  <c r="T244" i="3" l="1"/>
  <c r="U338" i="3"/>
  <c r="AL261" i="3"/>
  <c r="AL319" i="3"/>
  <c r="T249" i="3" l="1"/>
  <c r="T255" i="3" s="1"/>
  <c r="T285" i="3" s="1"/>
  <c r="U30" i="3"/>
  <c r="U31" i="3" l="1"/>
  <c r="U33" i="3" s="1"/>
  <c r="U34" i="3" l="1"/>
  <c r="U36" i="3" l="1"/>
  <c r="U37" i="3" s="1"/>
  <c r="U35" i="3"/>
  <c r="AQ319" i="3"/>
  <c r="AQ261" i="3"/>
  <c r="U39" i="3" l="1"/>
  <c r="U42" i="3"/>
  <c r="U306" i="3"/>
  <c r="U43" i="3"/>
  <c r="U320" i="3" l="1"/>
  <c r="U276" i="3"/>
  <c r="U44" i="3"/>
  <c r="U283" i="3" l="1"/>
  <c r="U258" i="3" l="1"/>
  <c r="U263" i="3"/>
  <c r="U257" i="3"/>
  <c r="U262" i="3" l="1"/>
  <c r="U270" i="3" s="1"/>
  <c r="U284" i="3" s="1"/>
  <c r="U301" i="3"/>
  <c r="V29" i="3"/>
  <c r="W29" i="3" l="1"/>
  <c r="U335" i="3"/>
  <c r="U337" i="3" s="1"/>
  <c r="U339" i="3" s="1"/>
  <c r="U244" i="3" l="1"/>
  <c r="V338" i="3"/>
  <c r="U249" i="3" l="1"/>
  <c r="U255" i="3" s="1"/>
  <c r="U285" i="3" s="1"/>
  <c r="V30" i="3"/>
  <c r="W30" i="3" l="1"/>
  <c r="V31" i="3"/>
  <c r="V33" i="3" s="1"/>
  <c r="V34" i="3" l="1"/>
  <c r="W31" i="3"/>
  <c r="W33" i="3" s="1"/>
  <c r="W34" i="3" l="1"/>
  <c r="V35" i="3"/>
  <c r="V36" i="3"/>
  <c r="V37" i="3" s="1"/>
  <c r="W35" i="3" l="1"/>
  <c r="V42" i="3"/>
  <c r="V306" i="3"/>
  <c r="V43" i="3"/>
  <c r="W36" i="3"/>
  <c r="W37" i="3" s="1"/>
  <c r="V39" i="3"/>
  <c r="W40" i="3" l="1"/>
  <c r="W42" i="3" s="1"/>
  <c r="W41" i="3"/>
  <c r="W43" i="3" s="1"/>
  <c r="W306" i="3"/>
  <c r="W320" i="3" s="1"/>
  <c r="V44" i="3"/>
  <c r="W221" i="3"/>
  <c r="W39" i="3"/>
  <c r="V320" i="3"/>
  <c r="V276" i="3"/>
  <c r="W276" i="3" l="1"/>
  <c r="W283" i="3" s="1"/>
  <c r="V283" i="3"/>
  <c r="W44" i="3"/>
  <c r="V258" i="3" l="1"/>
  <c r="V263" i="3"/>
  <c r="V257" i="3"/>
  <c r="W263" i="3" l="1"/>
  <c r="W329" i="3"/>
  <c r="W328" i="3"/>
  <c r="W258" i="3"/>
  <c r="W257" i="3"/>
  <c r="V262" i="3"/>
  <c r="V270" i="3" s="1"/>
  <c r="V284" i="3" s="1"/>
  <c r="V301" i="3"/>
  <c r="W301" i="3"/>
  <c r="W223" i="3" l="1"/>
  <c r="X223" i="3" s="1"/>
  <c r="Y223" i="3" s="1"/>
  <c r="Z223" i="3" s="1"/>
  <c r="AA223" i="3" s="1"/>
  <c r="V335" i="3"/>
  <c r="V337" i="3" s="1"/>
  <c r="V339" i="3" s="1"/>
  <c r="V244" i="3" s="1"/>
  <c r="W327" i="3"/>
  <c r="W335" i="3" s="1"/>
  <c r="W337" i="3" s="1"/>
  <c r="W339" i="3" s="1"/>
  <c r="W262" i="3"/>
  <c r="W270" i="3" s="1"/>
  <c r="W284" i="3" s="1"/>
  <c r="X29" i="3" l="1"/>
  <c r="W244" i="3"/>
  <c r="V249" i="3"/>
  <c r="V255" i="3" s="1"/>
  <c r="V285" i="3" s="1"/>
  <c r="X338" i="3"/>
  <c r="AB338" i="3"/>
  <c r="W249" i="3" l="1"/>
  <c r="W255" i="3" s="1"/>
  <c r="W285" i="3" s="1"/>
  <c r="W222" i="3"/>
  <c r="X222" i="3" s="1"/>
  <c r="Y222" i="3" l="1"/>
  <c r="Z222" i="3" s="1"/>
  <c r="AA222" i="3" s="1"/>
  <c r="X30" i="3"/>
  <c r="X31" i="3" l="1"/>
  <c r="X33" i="3" s="1"/>
  <c r="X34" i="3" l="1"/>
  <c r="X35" i="3" l="1"/>
  <c r="X36" i="3"/>
  <c r="X39" i="3" l="1"/>
  <c r="X37" i="3"/>
  <c r="X43" i="3" l="1"/>
  <c r="X306" i="3"/>
  <c r="X42" i="3"/>
  <c r="X44" i="3"/>
  <c r="X320" i="3" l="1"/>
  <c r="X276" i="3"/>
  <c r="X283" i="3" l="1"/>
  <c r="X263" i="3" l="1"/>
  <c r="X257" i="3"/>
  <c r="X258" i="3"/>
  <c r="X262" i="3" l="1"/>
  <c r="X270" i="3" s="1"/>
  <c r="X284" i="3" s="1"/>
  <c r="X301" i="3"/>
  <c r="Y29" i="3"/>
  <c r="X335" i="3" l="1"/>
  <c r="X337" i="3" s="1"/>
  <c r="X339" i="3" s="1"/>
  <c r="X244" i="3" l="1"/>
  <c r="Y338" i="3"/>
  <c r="Y30" i="3" l="1"/>
  <c r="X249" i="3"/>
  <c r="X255" i="3" s="1"/>
  <c r="X285" i="3" s="1"/>
  <c r="Y31" i="3" l="1"/>
  <c r="Y33" i="3" s="1"/>
  <c r="Y34" i="3" l="1"/>
  <c r="Y35" i="3" l="1"/>
  <c r="Y36" i="3"/>
  <c r="Y37" i="3" s="1"/>
  <c r="Y43" i="3" l="1"/>
  <c r="Y42" i="3"/>
  <c r="Y306" i="3"/>
  <c r="Y39" i="3"/>
  <c r="Y44" i="3" s="1"/>
  <c r="Y320" i="3" l="1"/>
  <c r="Y276" i="3"/>
  <c r="Y283" i="3" l="1"/>
  <c r="Y258" i="3" l="1"/>
  <c r="Y257" i="3"/>
  <c r="Y263" i="3"/>
  <c r="Y301" i="3" l="1"/>
  <c r="Y262" i="3"/>
  <c r="Y270" i="3" s="1"/>
  <c r="Y284" i="3" s="1"/>
  <c r="Z29" i="3"/>
  <c r="Y335" i="3" l="1"/>
  <c r="Y337" i="3" s="1"/>
  <c r="Y339" i="3" s="1"/>
  <c r="Y244" i="3" l="1"/>
  <c r="Z338" i="3"/>
  <c r="Z30" i="3" l="1"/>
  <c r="Y249" i="3"/>
  <c r="Y255" i="3" s="1"/>
  <c r="Y285" i="3" s="1"/>
  <c r="Z31" i="3" l="1"/>
  <c r="Z33" i="3" s="1"/>
  <c r="Z34" i="3" l="1"/>
  <c r="Z36" i="3" l="1"/>
  <c r="Z37" i="3" s="1"/>
  <c r="Z35" i="3"/>
  <c r="Z43" i="3" l="1"/>
  <c r="Z42" i="3"/>
  <c r="Z306" i="3"/>
  <c r="Z39" i="3"/>
  <c r="Z44" i="3" s="1"/>
  <c r="Z320" i="3" l="1"/>
  <c r="Z276" i="3"/>
  <c r="Z283" i="3" l="1"/>
  <c r="Z263" i="3" l="1"/>
  <c r="Z258" i="3"/>
  <c r="Z257" i="3"/>
  <c r="Z301" i="3" l="1"/>
  <c r="Z262" i="3"/>
  <c r="Z270" i="3" s="1"/>
  <c r="Z284" i="3" s="1"/>
  <c r="AA29" i="3"/>
  <c r="Z335" i="3" l="1"/>
  <c r="Z337" i="3" s="1"/>
  <c r="Z339" i="3" s="1"/>
  <c r="AB29" i="3"/>
  <c r="Z244" i="3" l="1"/>
  <c r="AA338" i="3"/>
  <c r="AA30" i="3" l="1"/>
  <c r="Z249" i="3"/>
  <c r="Z255" i="3" s="1"/>
  <c r="Z285" i="3" s="1"/>
  <c r="AB30" i="3" l="1"/>
  <c r="AA31" i="3"/>
  <c r="AA33" i="3" s="1"/>
  <c r="AA34" i="3" l="1"/>
  <c r="AB31" i="3"/>
  <c r="AB33" i="3" s="1"/>
  <c r="AB34" i="3" l="1"/>
  <c r="AA35" i="3"/>
  <c r="AA36" i="3"/>
  <c r="AB36" i="3" l="1"/>
  <c r="AB37" i="3" s="1"/>
  <c r="AA39" i="3"/>
  <c r="AA44" i="3" s="1"/>
  <c r="AB35" i="3"/>
  <c r="AA37" i="3"/>
  <c r="AB306" i="3" l="1"/>
  <c r="AB320" i="3" s="1"/>
  <c r="AB41" i="3"/>
  <c r="AB43" i="3" s="1"/>
  <c r="AB40" i="3"/>
  <c r="AB42" i="3" s="1"/>
  <c r="AA43" i="3"/>
  <c r="AA42" i="3"/>
  <c r="AA306" i="3"/>
  <c r="AB221" i="3"/>
  <c r="AB39" i="3"/>
  <c r="AB44" i="3" l="1"/>
  <c r="AA320" i="3"/>
  <c r="AA276" i="3"/>
  <c r="AB276" i="3" l="1"/>
  <c r="AB283" i="3" s="1"/>
  <c r="AA283" i="3"/>
  <c r="AA263" i="3" l="1"/>
  <c r="AA258" i="3"/>
  <c r="AA257" i="3"/>
  <c r="AA301" i="3" l="1"/>
  <c r="AB301" i="3"/>
  <c r="AA262" i="3"/>
  <c r="AA270" i="3" s="1"/>
  <c r="AA284" i="3" s="1"/>
  <c r="AB257" i="3"/>
  <c r="AB258" i="3"/>
  <c r="AB328" i="3"/>
  <c r="AB263" i="3"/>
  <c r="AB329" i="3"/>
  <c r="AB262" i="3" l="1"/>
  <c r="AB270" i="3" s="1"/>
  <c r="AB284" i="3" s="1"/>
  <c r="AB223" i="3"/>
  <c r="AC223" i="3" s="1"/>
  <c r="AA335" i="3"/>
  <c r="AA337" i="3" s="1"/>
  <c r="AA339" i="3" s="1"/>
  <c r="AA244" i="3" s="1"/>
  <c r="AB327" i="3"/>
  <c r="AB335" i="3" s="1"/>
  <c r="AB337" i="3" s="1"/>
  <c r="AB339" i="3" s="1"/>
  <c r="AC338" i="3" l="1"/>
  <c r="AG338" i="3"/>
  <c r="AD223" i="3"/>
  <c r="AE223" i="3" s="1"/>
  <c r="AF223" i="3" s="1"/>
  <c r="AC29" i="3"/>
  <c r="AA249" i="3"/>
  <c r="AA255" i="3" s="1"/>
  <c r="AA285" i="3" s="1"/>
  <c r="AB244" i="3"/>
  <c r="AB249" i="3" l="1"/>
  <c r="AB255" i="3" s="1"/>
  <c r="AB285" i="3" s="1"/>
  <c r="AB222" i="3"/>
  <c r="AC222" i="3" s="1"/>
  <c r="AD222" i="3" l="1"/>
  <c r="AE222" i="3" s="1"/>
  <c r="AF222" i="3" s="1"/>
  <c r="AC30" i="3"/>
  <c r="AC31" i="3" l="1"/>
  <c r="AC33" i="3" s="1"/>
  <c r="AC34" i="3" l="1"/>
  <c r="AC36" i="3" l="1"/>
  <c r="AC37" i="3" s="1"/>
  <c r="AC35" i="3"/>
  <c r="AC43" i="3" l="1"/>
  <c r="AC42" i="3"/>
  <c r="AC306" i="3"/>
  <c r="AC39" i="3"/>
  <c r="AC44" i="3" s="1"/>
  <c r="AC320" i="3" l="1"/>
  <c r="AC276" i="3"/>
  <c r="AC283" i="3" l="1"/>
  <c r="AC258" i="3" l="1"/>
  <c r="AC263" i="3"/>
  <c r="AC257" i="3"/>
  <c r="AC301" i="3" l="1"/>
  <c r="AC262" i="3"/>
  <c r="AC270" i="3" s="1"/>
  <c r="AC284" i="3" s="1"/>
  <c r="AD29" i="3"/>
  <c r="AC335" i="3" l="1"/>
  <c r="AC337" i="3" s="1"/>
  <c r="AC339" i="3" s="1"/>
  <c r="AC244" i="3" l="1"/>
  <c r="AD338" i="3"/>
  <c r="AD30" i="3" l="1"/>
  <c r="AC249" i="3"/>
  <c r="AC255" i="3" s="1"/>
  <c r="AC285" i="3" s="1"/>
  <c r="AD31" i="3" l="1"/>
  <c r="AD33" i="3" s="1"/>
  <c r="AD34" i="3" l="1"/>
  <c r="AD35" i="3" l="1"/>
  <c r="AD36" i="3"/>
  <c r="AD37" i="3" s="1"/>
  <c r="AD42" i="3" l="1"/>
  <c r="AD43" i="3"/>
  <c r="AD306" i="3"/>
  <c r="AD39" i="3"/>
  <c r="AD44" i="3" s="1"/>
  <c r="AD320" i="3" l="1"/>
  <c r="AD276" i="3"/>
  <c r="AD283" i="3" l="1"/>
  <c r="AD258" i="3" l="1"/>
  <c r="AD263" i="3"/>
  <c r="AD257" i="3"/>
  <c r="AD301" i="3" l="1"/>
  <c r="AD262" i="3"/>
  <c r="AD270" i="3" s="1"/>
  <c r="AD284" i="3" s="1"/>
  <c r="AE29" i="3"/>
  <c r="AD335" i="3" l="1"/>
  <c r="AD337" i="3" s="1"/>
  <c r="AD339" i="3" s="1"/>
  <c r="AD244" i="3" l="1"/>
  <c r="AE338" i="3"/>
  <c r="AE30" i="3" l="1"/>
  <c r="AD249" i="3"/>
  <c r="AD255" i="3" s="1"/>
  <c r="AD285" i="3" s="1"/>
  <c r="AE31" i="3" l="1"/>
  <c r="AE33" i="3" s="1"/>
  <c r="AE34" i="3" l="1"/>
  <c r="AE36" i="3" l="1"/>
  <c r="AE37" i="3" s="1"/>
  <c r="AE35" i="3"/>
  <c r="AE42" i="3" l="1"/>
  <c r="AE43" i="3"/>
  <c r="AE306" i="3"/>
  <c r="AE39" i="3"/>
  <c r="AE44" i="3" s="1"/>
  <c r="AE320" i="3" l="1"/>
  <c r="AE276" i="3"/>
  <c r="AE283" i="3" l="1"/>
  <c r="AE258" i="3" l="1"/>
  <c r="AE263" i="3"/>
  <c r="AE257" i="3"/>
  <c r="AE301" i="3" l="1"/>
  <c r="AE262" i="3"/>
  <c r="AE270" i="3" s="1"/>
  <c r="AE284" i="3" s="1"/>
  <c r="AF29" i="3"/>
  <c r="AG29" i="3" l="1"/>
  <c r="AE335" i="3"/>
  <c r="AE337" i="3" s="1"/>
  <c r="AE339" i="3" s="1"/>
  <c r="AE244" i="3" l="1"/>
  <c r="AF338" i="3"/>
  <c r="AF30" i="3" l="1"/>
  <c r="AE249" i="3"/>
  <c r="AE255" i="3" s="1"/>
  <c r="AE285" i="3" s="1"/>
  <c r="AG30" i="3" l="1"/>
  <c r="AF31" i="3"/>
  <c r="AF33" i="3" s="1"/>
  <c r="AF34" i="3" l="1"/>
  <c r="AG31" i="3"/>
  <c r="AG33" i="3" s="1"/>
  <c r="AG34" i="3" l="1"/>
  <c r="AF36" i="3"/>
  <c r="AF35" i="3"/>
  <c r="AG36" i="3" l="1"/>
  <c r="AG37" i="3" s="1"/>
  <c r="AF39" i="3"/>
  <c r="AF44" i="3" s="1"/>
  <c r="AF37" i="3"/>
  <c r="AG35" i="3"/>
  <c r="AG306" i="3" l="1"/>
  <c r="AG320" i="3" s="1"/>
  <c r="AG40" i="3"/>
  <c r="AG42" i="3" s="1"/>
  <c r="AG41" i="3"/>
  <c r="AG43" i="3" s="1"/>
  <c r="AF42" i="3"/>
  <c r="AF306" i="3"/>
  <c r="AF43" i="3"/>
  <c r="AG221" i="3"/>
  <c r="AG39" i="3"/>
  <c r="AG44" i="3" l="1"/>
  <c r="AF320" i="3"/>
  <c r="AF276" i="3"/>
  <c r="AG276" i="3" l="1"/>
  <c r="AG283" i="3" s="1"/>
  <c r="AF283" i="3"/>
  <c r="AF263" i="3" l="1"/>
  <c r="AF258" i="3"/>
  <c r="AF257" i="3"/>
  <c r="AG258" i="3" l="1"/>
  <c r="AG328" i="3"/>
  <c r="AF301" i="3"/>
  <c r="AG301" i="3"/>
  <c r="AF262" i="3"/>
  <c r="AF270" i="3" s="1"/>
  <c r="AF284" i="3" s="1"/>
  <c r="AG257" i="3"/>
  <c r="AG329" i="3"/>
  <c r="AG263" i="3"/>
  <c r="AF335" i="3" l="1"/>
  <c r="AF337" i="3" s="1"/>
  <c r="AF339" i="3" s="1"/>
  <c r="AF244" i="3" s="1"/>
  <c r="AG327" i="3"/>
  <c r="AG335" i="3" s="1"/>
  <c r="AG337" i="3" s="1"/>
  <c r="AG339" i="3" s="1"/>
  <c r="AG262" i="3"/>
  <c r="AG270" i="3" s="1"/>
  <c r="AG284" i="3" s="1"/>
  <c r="AG223" i="3"/>
  <c r="AH223" i="3" s="1"/>
  <c r="AL338" i="3" l="1"/>
  <c r="AH338" i="3"/>
  <c r="AI223" i="3"/>
  <c r="AJ223" i="3" s="1"/>
  <c r="AK223" i="3" s="1"/>
  <c r="AH29" i="3"/>
  <c r="AG244" i="3"/>
  <c r="AF249" i="3"/>
  <c r="AF255" i="3" s="1"/>
  <c r="AF285" i="3" s="1"/>
  <c r="AG249" i="3" l="1"/>
  <c r="AG255" i="3" s="1"/>
  <c r="AG285" i="3" s="1"/>
  <c r="AG222" i="3"/>
  <c r="AH222" i="3" s="1"/>
  <c r="AI222" i="3" l="1"/>
  <c r="AJ222" i="3" s="1"/>
  <c r="AK222" i="3" s="1"/>
  <c r="AH30" i="3"/>
  <c r="AH31" i="3" l="1"/>
  <c r="AH33" i="3" s="1"/>
  <c r="AH34" i="3" l="1"/>
  <c r="AH35" i="3" l="1"/>
  <c r="AH36" i="3"/>
  <c r="AH39" i="3" l="1"/>
  <c r="AH44" i="3" s="1"/>
  <c r="AH37" i="3"/>
  <c r="AH42" i="3" l="1"/>
  <c r="AH43" i="3"/>
  <c r="AH306" i="3"/>
  <c r="AH320" i="3" l="1"/>
  <c r="AH276" i="3"/>
  <c r="AH283" i="3" l="1"/>
  <c r="AH258" i="3" l="1"/>
  <c r="AH257" i="3"/>
  <c r="AH263" i="3"/>
  <c r="AH301" i="3" l="1"/>
  <c r="AI29" i="3"/>
  <c r="AH262" i="3"/>
  <c r="AH270" i="3" s="1"/>
  <c r="AH284" i="3" s="1"/>
  <c r="AH335" i="3" l="1"/>
  <c r="AH337" i="3" s="1"/>
  <c r="AH339" i="3" s="1"/>
  <c r="AH244" i="3" l="1"/>
  <c r="AI338" i="3"/>
  <c r="AI30" i="3" l="1"/>
  <c r="AH249" i="3"/>
  <c r="AH255" i="3" s="1"/>
  <c r="AH285" i="3" s="1"/>
  <c r="AI31" i="3" l="1"/>
  <c r="AI33" i="3" s="1"/>
  <c r="AI34" i="3" l="1"/>
  <c r="AI36" i="3" l="1"/>
  <c r="AI37" i="3" s="1"/>
  <c r="AI35" i="3"/>
  <c r="AI42" i="3" l="1"/>
  <c r="AI306" i="3"/>
  <c r="AI43" i="3"/>
  <c r="AI39" i="3"/>
  <c r="AI44" i="3" s="1"/>
  <c r="AI320" i="3" l="1"/>
  <c r="AI276" i="3"/>
  <c r="AI283" i="3" l="1"/>
  <c r="AI263" i="3" l="1"/>
  <c r="AI258" i="3"/>
  <c r="AI257" i="3"/>
  <c r="AI301" i="3" l="1"/>
  <c r="AI262" i="3"/>
  <c r="AI270" i="3" s="1"/>
  <c r="AI284" i="3" s="1"/>
  <c r="AJ29" i="3"/>
  <c r="AI335" i="3" l="1"/>
  <c r="AI337" i="3" s="1"/>
  <c r="AI339" i="3" s="1"/>
  <c r="AI244" i="3" l="1"/>
  <c r="AJ338" i="3"/>
  <c r="AJ30" i="3" l="1"/>
  <c r="AI249" i="3"/>
  <c r="AI255" i="3" s="1"/>
  <c r="AI285" i="3" s="1"/>
  <c r="AJ31" i="3" l="1"/>
  <c r="AJ33" i="3" s="1"/>
  <c r="AJ34" i="3" l="1"/>
  <c r="AJ35" i="3" l="1"/>
  <c r="AJ36" i="3"/>
  <c r="AJ37" i="3" s="1"/>
  <c r="AJ42" i="3" l="1"/>
  <c r="AJ43" i="3"/>
  <c r="AJ306" i="3"/>
  <c r="AJ39" i="3"/>
  <c r="AJ44" i="3" s="1"/>
  <c r="AJ320" i="3" l="1"/>
  <c r="AJ276" i="3"/>
  <c r="AJ283" i="3" l="1"/>
  <c r="AJ258" i="3" l="1"/>
  <c r="AJ263" i="3"/>
  <c r="AJ257" i="3"/>
  <c r="AJ301" i="3" l="1"/>
  <c r="AK29" i="3"/>
  <c r="AJ262" i="3"/>
  <c r="AJ270" i="3" s="1"/>
  <c r="AJ284" i="3" s="1"/>
  <c r="AL29" i="3" l="1"/>
  <c r="AJ335" i="3"/>
  <c r="AJ337" i="3" s="1"/>
  <c r="AJ339" i="3" s="1"/>
  <c r="AJ244" i="3" l="1"/>
  <c r="AK338" i="3"/>
  <c r="AK30" i="3" l="1"/>
  <c r="AJ249" i="3"/>
  <c r="AJ255" i="3" s="1"/>
  <c r="AJ285" i="3" s="1"/>
  <c r="AL30" i="3" l="1"/>
  <c r="AK31" i="3"/>
  <c r="AK33" i="3" s="1"/>
  <c r="AK34" i="3" l="1"/>
  <c r="AL31" i="3"/>
  <c r="AL33" i="3" s="1"/>
  <c r="AL34" i="3" l="1"/>
  <c r="AK36" i="3"/>
  <c r="AK37" i="3" s="1"/>
  <c r="AK35" i="3"/>
  <c r="AK42" i="3" l="1"/>
  <c r="AK43" i="3"/>
  <c r="AK306" i="3"/>
  <c r="AL36" i="3"/>
  <c r="AK39" i="3"/>
  <c r="AK44" i="3" s="1"/>
  <c r="AL35" i="3"/>
  <c r="AL221" i="3" l="1"/>
  <c r="AL39" i="3"/>
  <c r="AL37" i="3"/>
  <c r="AK320" i="3"/>
  <c r="AK276" i="3"/>
  <c r="AL306" i="3" l="1"/>
  <c r="AL320" i="3" s="1"/>
  <c r="AL41" i="3"/>
  <c r="AL43" i="3" s="1"/>
  <c r="AL40" i="3"/>
  <c r="AL42" i="3" s="1"/>
  <c r="AL276" i="3"/>
  <c r="AL283" i="3" s="1"/>
  <c r="AK283" i="3"/>
  <c r="AL44" i="3" l="1"/>
  <c r="AK263" i="3"/>
  <c r="AK258" i="3"/>
  <c r="AK257" i="3"/>
  <c r="AL301" i="3" l="1"/>
  <c r="AK262" i="3"/>
  <c r="AK270" i="3" s="1"/>
  <c r="AK284" i="3" s="1"/>
  <c r="AK301" i="3"/>
  <c r="AL257" i="3"/>
  <c r="AL328" i="3"/>
  <c r="AL258" i="3"/>
  <c r="AL263" i="3"/>
  <c r="AL329" i="3"/>
  <c r="AL262" i="3" l="1"/>
  <c r="AL270" i="3" s="1"/>
  <c r="AL284" i="3" s="1"/>
  <c r="AL223" i="3"/>
  <c r="AM223" i="3" s="1"/>
  <c r="AK335" i="3"/>
  <c r="AK337" i="3" s="1"/>
  <c r="AK339" i="3" s="1"/>
  <c r="AK244" i="3" s="1"/>
  <c r="AL327" i="3"/>
  <c r="AL335" i="3" s="1"/>
  <c r="AL337" i="3" s="1"/>
  <c r="AL339" i="3" s="1"/>
  <c r="AN223" i="3" l="1"/>
  <c r="AO223" i="3" s="1"/>
  <c r="AP223" i="3" s="1"/>
  <c r="AM29" i="3"/>
  <c r="AQ338" i="3"/>
  <c r="AM338" i="3"/>
  <c r="AL244" i="3"/>
  <c r="AK249" i="3"/>
  <c r="AK255" i="3" s="1"/>
  <c r="AK285" i="3" s="1"/>
  <c r="AL249" i="3" l="1"/>
  <c r="AL255" i="3" s="1"/>
  <c r="AL285" i="3" s="1"/>
  <c r="AL222" i="3"/>
  <c r="AM222" i="3" s="1"/>
  <c r="AN222" i="3" l="1"/>
  <c r="AO222" i="3" s="1"/>
  <c r="AP222" i="3" s="1"/>
  <c r="AM30" i="3"/>
  <c r="AM31" i="3" l="1"/>
  <c r="AM33" i="3" s="1"/>
  <c r="AM34" i="3" l="1"/>
  <c r="AM35" i="3" l="1"/>
  <c r="AM36" i="3"/>
  <c r="AM39" i="3" l="1"/>
  <c r="AM44" i="3" s="1"/>
  <c r="AM37" i="3"/>
  <c r="AM42" i="3" l="1"/>
  <c r="AM43" i="3"/>
  <c r="AM306" i="3"/>
  <c r="AM320" i="3" l="1"/>
  <c r="AM276" i="3"/>
  <c r="AM283" i="3" l="1"/>
  <c r="AM263" i="3" l="1"/>
  <c r="AM258" i="3"/>
  <c r="AM257" i="3"/>
  <c r="AM301" i="3" l="1"/>
  <c r="AM262" i="3"/>
  <c r="AM270" i="3" s="1"/>
  <c r="AM284" i="3" s="1"/>
  <c r="AN29" i="3"/>
  <c r="AM335" i="3" l="1"/>
  <c r="AM337" i="3" s="1"/>
  <c r="AM339" i="3" s="1"/>
  <c r="AM244" i="3" l="1"/>
  <c r="AN338" i="3"/>
  <c r="AM249" i="3" l="1"/>
  <c r="AM255" i="3" s="1"/>
  <c r="AM285" i="3" s="1"/>
  <c r="AN30" i="3"/>
  <c r="AN31" i="3" l="1"/>
  <c r="AN33" i="3" s="1"/>
  <c r="AN34" i="3" l="1"/>
  <c r="AN35" i="3" l="1"/>
  <c r="AN36" i="3"/>
  <c r="AN39" i="3" l="1"/>
  <c r="AN44" i="3" s="1"/>
  <c r="AN37" i="3"/>
  <c r="AN43" i="3" l="1"/>
  <c r="AN306" i="3"/>
  <c r="AN42" i="3"/>
  <c r="AN320" i="3" l="1"/>
  <c r="AN276" i="3"/>
  <c r="AN283" i="3" l="1"/>
  <c r="AN257" i="3" l="1"/>
  <c r="AN258" i="3"/>
  <c r="AN263" i="3"/>
  <c r="AN301" i="3" l="1"/>
  <c r="AO29" i="3"/>
  <c r="AN262" i="3"/>
  <c r="AN270" i="3" s="1"/>
  <c r="AN284" i="3" s="1"/>
  <c r="AN335" i="3" l="1"/>
  <c r="AN337" i="3" s="1"/>
  <c r="AN339" i="3" s="1"/>
  <c r="AO338" i="3" l="1"/>
  <c r="AN244" i="3"/>
  <c r="AN249" i="3" l="1"/>
  <c r="AN255" i="3" s="1"/>
  <c r="AN285" i="3" s="1"/>
  <c r="AO30" i="3"/>
  <c r="AO31" i="3" l="1"/>
  <c r="AO33" i="3" s="1"/>
  <c r="AO34" i="3" l="1"/>
  <c r="AO35" i="3" l="1"/>
  <c r="AO36" i="3"/>
  <c r="AO37" i="3" s="1"/>
  <c r="AO43" i="3" l="1"/>
  <c r="AO306" i="3"/>
  <c r="AO42" i="3"/>
  <c r="AO39" i="3"/>
  <c r="AO44" i="3" s="1"/>
  <c r="AO320" i="3" l="1"/>
  <c r="AO276" i="3"/>
  <c r="AO283" i="3" l="1"/>
  <c r="AO263" i="3" l="1"/>
  <c r="AO258" i="3"/>
  <c r="AO257" i="3"/>
  <c r="AP29" i="3" l="1"/>
  <c r="AO301" i="3"/>
  <c r="AO262" i="3"/>
  <c r="AO270" i="3" s="1"/>
  <c r="AO284" i="3" s="1"/>
  <c r="AQ29" i="3" l="1"/>
  <c r="AO335" i="3"/>
  <c r="AO337" i="3" s="1"/>
  <c r="AO339" i="3" s="1"/>
  <c r="AO244" i="3" l="1"/>
  <c r="AP338" i="3"/>
  <c r="AP30" i="3" l="1"/>
  <c r="AO249" i="3"/>
  <c r="AO255" i="3" s="1"/>
  <c r="AO285" i="3" s="1"/>
  <c r="AQ30" i="3" l="1"/>
  <c r="AP31" i="3"/>
  <c r="AP33" i="3" s="1"/>
  <c r="AP34" i="3" l="1"/>
  <c r="AQ31" i="3"/>
  <c r="AQ33" i="3" s="1"/>
  <c r="AQ34" i="3" l="1"/>
  <c r="AP35" i="3"/>
  <c r="AP36" i="3"/>
  <c r="AP37" i="3" s="1"/>
  <c r="AP42" i="3" l="1"/>
  <c r="AP43" i="3"/>
  <c r="AP306" i="3"/>
  <c r="AQ36" i="3"/>
  <c r="AQ37" i="3" s="1"/>
  <c r="AP39" i="3"/>
  <c r="AP44" i="3" s="1"/>
  <c r="AQ35" i="3"/>
  <c r="AQ306" i="3" l="1"/>
  <c r="AQ320" i="3" s="1"/>
  <c r="AQ41" i="3"/>
  <c r="AQ43" i="3" s="1"/>
  <c r="AQ40" i="3"/>
  <c r="AQ42" i="3" s="1"/>
  <c r="AP320" i="3"/>
  <c r="AP276" i="3"/>
  <c r="AQ221" i="3"/>
  <c r="AQ39" i="3"/>
  <c r="AQ276" i="3" l="1"/>
  <c r="AQ283" i="3" s="1"/>
  <c r="AP283" i="3"/>
  <c r="AQ44" i="3"/>
  <c r="AP258" i="3" l="1"/>
  <c r="AP257" i="3"/>
  <c r="AP263" i="3"/>
  <c r="AQ263" i="3" l="1"/>
  <c r="AQ329" i="3"/>
  <c r="AP262" i="3"/>
  <c r="AP270" i="3" s="1"/>
  <c r="AP284" i="3" s="1"/>
  <c r="AQ301" i="3"/>
  <c r="AP301" i="3"/>
  <c r="AQ257" i="3"/>
  <c r="AQ328" i="3"/>
  <c r="AQ258" i="3"/>
  <c r="AQ223" i="3" l="1"/>
  <c r="AP335" i="3"/>
  <c r="AP337" i="3" s="1"/>
  <c r="AP339" i="3" s="1"/>
  <c r="AP244" i="3" s="1"/>
  <c r="AQ327" i="3"/>
  <c r="AQ335" i="3" s="1"/>
  <c r="AQ337" i="3" s="1"/>
  <c r="AQ339" i="3" s="1"/>
  <c r="AQ262" i="3"/>
  <c r="AQ270" i="3" s="1"/>
  <c r="AQ284" i="3" s="1"/>
  <c r="AP249" i="3" l="1"/>
  <c r="AP255" i="3" s="1"/>
  <c r="AP285" i="3" s="1"/>
  <c r="AQ244" i="3"/>
  <c r="AQ249" i="3" l="1"/>
  <c r="AQ255" i="3" s="1"/>
  <c r="AQ285" i="3" s="1"/>
  <c r="AQ22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131" authorId="0" shapeId="0" xr:uid="{C842BFEF-5D3C-4DB4-80E9-8B42CB4B0182}">
      <text>
        <r>
          <rPr>
            <sz val="9"/>
            <color indexed="81"/>
            <rFont val="Tahoma"/>
            <family val="2"/>
          </rPr>
          <t>This row is used if the details in the company's stat book do not reconcile (i.e. Revenue per lb x operating days x average daily pounds does not equal total revenue, which indicates the need for an adjustment.</t>
        </r>
      </text>
    </comment>
    <comment ref="B135" authorId="0" shapeId="0" xr:uid="{2A45B567-F809-4920-A9D3-2F54BCE0737F}">
      <text>
        <r>
          <rPr>
            <sz val="9"/>
            <color indexed="81"/>
            <rFont val="Tahoma"/>
            <family val="2"/>
          </rPr>
          <t>Use this to back into total Ground Revenue</t>
        </r>
      </text>
    </comment>
    <comment ref="B173" authorId="0" shapeId="0" xr:uid="{4C6D9F26-DE3D-49EB-952A-A5DBFCF3575D}">
      <text>
        <r>
          <rPr>
            <sz val="9"/>
            <color indexed="81"/>
            <rFont val="Tahoma"/>
            <family val="2"/>
          </rPr>
          <t>This is the full impact of the operating income adjustment plus the difference between the operating revenue and operating income</t>
        </r>
      </text>
    </comment>
    <comment ref="B177" authorId="0" shapeId="0" xr:uid="{0D6A47B5-847A-41CC-92DC-42E860D06162}">
      <text>
        <r>
          <rPr>
            <sz val="9"/>
            <color indexed="81"/>
            <rFont val="Tahoma"/>
            <family val="2"/>
          </rPr>
          <t xml:space="preserve">Plug to all other operating expenses so that Net Operating Income foots. Then review "All other operating expense" relative to historic results to ensure reasonable. Note that if you try to back into this in the forecast period you would end up with a circular reference error. To estimate, start by setting equal to the prior period then adjust until operating income reconciles.
</t>
        </r>
      </text>
    </comment>
    <comment ref="B189" authorId="0" shapeId="0" xr:uid="{EE63B956-6130-4B3C-87DF-980FAF4034B9}">
      <text>
        <r>
          <rPr>
            <sz val="9"/>
            <color indexed="81"/>
            <rFont val="Tahoma"/>
            <family val="2"/>
          </rPr>
          <t>Must remain above 80%</t>
        </r>
      </text>
    </comment>
    <comment ref="B191" authorId="0" shapeId="0" xr:uid="{55CD12DC-13B9-41E5-9A3C-CA89738272F9}">
      <text>
        <r>
          <rPr>
            <sz val="9"/>
            <color indexed="81"/>
            <rFont val="Tahoma"/>
            <family val="2"/>
          </rPr>
          <t>This is primarily the portion of the periodic benefit related to the amortization of prior services credit  which is recognized through OCI</t>
        </r>
      </text>
    </comment>
    <comment ref="M198" authorId="0" shapeId="0" xr:uid="{C69B17EC-2DF4-4062-9FC7-44F0EAC0BEA8}">
      <text>
        <r>
          <rPr>
            <sz val="9"/>
            <color indexed="81"/>
            <rFont val="Tahoma"/>
            <family val="2"/>
          </rPr>
          <t>Benefit payments were higher in 2017 because former employees with vested pension plans were able to make a one-time election to receive their benefit as a lump sum, which incresed benefit payments by $1.3B.</t>
        </r>
      </text>
    </comment>
    <comment ref="H199" authorId="0" shapeId="0" xr:uid="{00C6529B-8D50-4D47-9F99-A2D755164665}">
      <text>
        <r>
          <rPr>
            <sz val="9"/>
            <color indexed="81"/>
            <rFont val="Tahoma"/>
            <family val="2"/>
          </rPr>
          <t>Higher due to impact of TNT acquisition.</t>
        </r>
      </text>
    </comment>
    <comment ref="H201" authorId="0" shapeId="0" xr:uid="{579AF088-4783-4311-BFFE-0D2B3FB84AEC}">
      <text>
        <r>
          <rPr>
            <sz val="9"/>
            <color indexed="81"/>
            <rFont val="Tahoma"/>
            <family val="2"/>
          </rPr>
          <t>Actual return of 1.2% was lower than the expected return of 6.5%.</t>
        </r>
      </text>
    </comment>
    <comment ref="M201" authorId="0" shapeId="0" xr:uid="{6F52A86F-22B4-433C-BAB7-988446472BB8}">
      <text>
        <r>
          <rPr>
            <sz val="9"/>
            <color indexed="81"/>
            <rFont val="Tahoma"/>
            <family val="2"/>
          </rPr>
          <t>Actual return of 9.6% was higher than the expected return of 6.5%.</t>
        </r>
      </text>
    </comment>
    <comment ref="R201" authorId="0" shapeId="0" xr:uid="{6112CCD8-BB97-4372-AFE6-D6BE29FBC3C7}">
      <text>
        <r>
          <rPr>
            <sz val="9"/>
            <color indexed="81"/>
            <rFont val="Tahoma"/>
            <family val="2"/>
          </rPr>
          <t>Actual return of 6.3% was lower than the expected return of 6.5%.</t>
        </r>
      </text>
    </comment>
    <comment ref="R202" authorId="0" shapeId="0" xr:uid="{49775B38-CF18-4788-9408-5FB01CF39DDE}">
      <text>
        <r>
          <rPr>
            <sz val="9"/>
            <color indexed="81"/>
            <rFont val="Tahoma"/>
            <family val="2"/>
          </rPr>
          <t>MetLife group annuity contract transfered ~$6 billion of U.S. Pension Plan obligations.</t>
        </r>
      </text>
    </comment>
    <comment ref="H203" authorId="0" shapeId="0" xr:uid="{CEF0FA89-F20D-41AE-9E93-C58B17A8AF6D}">
      <text>
        <r>
          <rPr>
            <sz val="9"/>
            <color indexed="81"/>
            <rFont val="Tahoma"/>
            <family val="2"/>
          </rPr>
          <t xml:space="preserve">Discount rate decreased from 4.38% in 2015 to 4.04% in 2016. </t>
        </r>
      </text>
    </comment>
    <comment ref="M203" authorId="0" shapeId="0" xr:uid="{F0607158-74C8-4FF0-AFC2-216C98ACEAB5}">
      <text>
        <r>
          <rPr>
            <sz val="9"/>
            <color indexed="81"/>
            <rFont val="Tahoma"/>
            <family val="2"/>
          </rPr>
          <t xml:space="preserve">Discount rate decreased from 4.04% in 2016 to 3.98% in 2017. </t>
        </r>
      </text>
    </comment>
    <comment ref="R203" authorId="0" shapeId="0" xr:uid="{96027B91-4C12-4F59-AEA2-AAC007039DD9}">
      <text>
        <r>
          <rPr>
            <sz val="9"/>
            <color indexed="81"/>
            <rFont val="Tahoma"/>
            <family val="2"/>
          </rPr>
          <t xml:space="preserve">Discount rate decreased from 3.98% in 2017 to 4.11% in 2018. </t>
        </r>
      </text>
    </comment>
    <comment ref="H204" authorId="0" shapeId="0" xr:uid="{A99056AB-32FE-402B-BF36-E4AE1767997F}">
      <text>
        <r>
          <rPr>
            <sz val="9"/>
            <color indexed="81"/>
            <rFont val="Tahoma"/>
            <family val="2"/>
          </rPr>
          <t>Impact of updated Mortality Tables.</t>
        </r>
      </text>
    </comment>
    <comment ref="M204" authorId="0" shapeId="0" xr:uid="{875E1C91-C4F4-44FB-80B8-A18DFE1F39AD}">
      <text>
        <r>
          <rPr>
            <sz val="9"/>
            <color indexed="81"/>
            <rFont val="Tahoma"/>
            <family val="2"/>
          </rPr>
          <t>Impact of updated Mortality Tables.</t>
        </r>
      </text>
    </comment>
    <comment ref="R204" authorId="0" shapeId="0" xr:uid="{25E04B8A-AFF1-4D8A-8087-E07CC38AB02C}">
      <text>
        <r>
          <rPr>
            <sz val="9"/>
            <color indexed="81"/>
            <rFont val="Tahoma"/>
            <family val="2"/>
          </rPr>
          <t>Impact of updated Mortality Tables.</t>
        </r>
      </text>
    </comment>
    <comment ref="B210" authorId="0" shapeId="0" xr:uid="{2EA5235B-F6D5-4558-B8C4-9D99562D0E3D}">
      <text>
        <r>
          <rPr>
            <sz val="9"/>
            <color indexed="81"/>
            <rFont val="Tahoma"/>
            <family val="2"/>
          </rPr>
          <t xml:space="preserve">The rate used to discount Projected Benefit Obligation to net present value terms. Actuaries calcualte the rate based on a theoretical portfolio of high-grade corporate bonds (Aa or better).
</t>
        </r>
      </text>
    </comment>
    <comment ref="B214" authorId="0" shapeId="0" xr:uid="{2DFF789A-76A9-427A-A256-E2AAEBDFC1B6}">
      <text>
        <r>
          <rPr>
            <sz val="9"/>
            <color indexed="81"/>
            <rFont val="Tahoma"/>
            <family val="2"/>
          </rPr>
          <t>As mortality tables are published by the IRS, and actuaries analyze the expected impact, adjust the pension MtM forecast to incorporate the impact.</t>
        </r>
      </text>
    </comment>
    <comment ref="B244" authorId="0" shapeId="0" xr:uid="{9183F9AE-E54C-417A-9290-05DF6C9F6D21}">
      <text>
        <r>
          <rPr>
            <b/>
            <sz val="9"/>
            <color indexed="81"/>
            <rFont val="Tahoma"/>
            <family val="2"/>
          </rPr>
          <t xml:space="preserve">File 6 Note: </t>
        </r>
        <r>
          <rPr>
            <sz val="9"/>
            <color indexed="81"/>
            <rFont val="Tahoma"/>
            <family val="2"/>
          </rPr>
          <t xml:space="preserve">As discussed in Step 8a, we will skip the "Cash and equivalents" Line until the Cash Flow Statement is complete in File 7, at which point the Balance Sheet will balance in row 285.
</t>
        </r>
      </text>
    </comment>
    <comment ref="B301" authorId="0" shapeId="0" xr:uid="{0AC8C104-EB4A-4380-855D-1388A823A7E5}">
      <text>
        <r>
          <rPr>
            <sz val="9"/>
            <color indexed="81"/>
            <rFont val="Tahoma"/>
            <family val="2"/>
          </rPr>
          <t xml:space="preserve">There is a covenant for the relvolving credit facility which requires the company to maintain a ratio of debt to consolidated earnings (excluding non-cash pension mark-to-market adjustments and non-cash asset impairment charges) before interest, taxes, depreciation and amortization (“adjusted EBITDA”) of not more than 3.5 to 1.0, calculated as of the end of the applicable quarter on a rolling four-quarters basis. 
</t>
        </r>
      </text>
    </comment>
    <comment ref="B340" authorId="0" shapeId="0" xr:uid="{FA95C4A7-0B69-4F13-92E4-DBC34B46CEE3}">
      <text>
        <r>
          <rPr>
            <sz val="9"/>
            <color indexed="81"/>
            <rFont val="Tahoma"/>
            <family val="2"/>
          </rPr>
          <t>Cash Flow from Operations - Capital Expenditures + After tax Interest Expense</t>
        </r>
      </text>
    </comment>
  </commentList>
</comments>
</file>

<file path=xl/sharedStrings.xml><?xml version="1.0" encoding="utf-8"?>
<sst xmlns="http://schemas.openxmlformats.org/spreadsheetml/2006/main" count="1198" uniqueCount="381">
  <si>
    <t>Basic shares outstanding</t>
  </si>
  <si>
    <t xml:space="preserve">Diluted shares outstanding </t>
  </si>
  <si>
    <t>Effective tax rate</t>
  </si>
  <si>
    <t>(Dollars in millions, except per share data)</t>
  </si>
  <si>
    <t>Total Current Assets</t>
  </si>
  <si>
    <t>Total Assets</t>
  </si>
  <si>
    <t>Assets</t>
  </si>
  <si>
    <t>Liabilities</t>
  </si>
  <si>
    <t>Total Current liabilities</t>
  </si>
  <si>
    <t>Other current assets</t>
  </si>
  <si>
    <t>Total liabilities</t>
  </si>
  <si>
    <t>Common stock</t>
  </si>
  <si>
    <t>Total liabilities and equity</t>
  </si>
  <si>
    <t>Cash flows from operating activities</t>
  </si>
  <si>
    <t>Net income (loss)</t>
  </si>
  <si>
    <t>Net cash provided by operating activities</t>
  </si>
  <si>
    <t>Cash flows from investing activities</t>
  </si>
  <si>
    <t>Net cash provided by (used for) investing</t>
  </si>
  <si>
    <t>Cash flows from financing activities</t>
  </si>
  <si>
    <t>Net cash provided by (used for) financing</t>
  </si>
  <si>
    <t>Net increase (decrease) in cash and equivalents</t>
  </si>
  <si>
    <t>Cash and equivalents at beginning of period</t>
  </si>
  <si>
    <t>Cash and equivalents at end of period</t>
  </si>
  <si>
    <t>Revenue growth rate (year over year)</t>
  </si>
  <si>
    <t>Multiple Valuation</t>
  </si>
  <si>
    <t>Balance Sheet Ratios &amp; Assumptions</t>
  </si>
  <si>
    <t>Receivables turnover</t>
  </si>
  <si>
    <t>Number of days of payables</t>
  </si>
  <si>
    <t>Cash Flow Ratios &amp; Assumptions</t>
  </si>
  <si>
    <t>Operating margin (GAAP)</t>
  </si>
  <si>
    <t>Share repurchase assumptions: average price</t>
  </si>
  <si>
    <t>Share repurchase: amount in the period ($M)</t>
  </si>
  <si>
    <t>Discounted FCFF</t>
  </si>
  <si>
    <t>Discounted Cash Flow Valuation</t>
  </si>
  <si>
    <t>Provisions for income tax</t>
  </si>
  <si>
    <t>Dividends per share</t>
  </si>
  <si>
    <t>Cash and equivalents</t>
  </si>
  <si>
    <t>Goodwill</t>
  </si>
  <si>
    <t>Accounts payable</t>
  </si>
  <si>
    <t>Accrued expenses</t>
  </si>
  <si>
    <t>Other non-current liabilities</t>
  </si>
  <si>
    <t>Commitments and contingencies</t>
  </si>
  <si>
    <t xml:space="preserve">Retained earnings </t>
  </si>
  <si>
    <t>Total shareholders' equity</t>
  </si>
  <si>
    <t>Dividends paid</t>
  </si>
  <si>
    <t xml:space="preserve">Net income </t>
  </si>
  <si>
    <t xml:space="preserve">Basic EPS </t>
  </si>
  <si>
    <t xml:space="preserve">Diluted EPS </t>
  </si>
  <si>
    <t>DCF Period (approximate number of years)</t>
  </si>
  <si>
    <t>Total operating expenses</t>
  </si>
  <si>
    <t>Change in basic shares  (excluding repurchases)</t>
  </si>
  <si>
    <t>Change in diluted shares  (excluding repurchases)</t>
  </si>
  <si>
    <t>F1Q16</t>
  </si>
  <si>
    <t>By obtaining this model you are deemed to have read and agreed to our Terms of Use. Visit our website for details: https://www.gutenbergresearch.com/terms-of-use.html</t>
  </si>
  <si>
    <t>GR</t>
  </si>
  <si>
    <t>F2Q16</t>
  </si>
  <si>
    <t>F3Q16</t>
  </si>
  <si>
    <t>Ratio Analysis</t>
  </si>
  <si>
    <t>Shares repurchased (in millions)</t>
  </si>
  <si>
    <t>Blue cells = Gutenberg estimates</t>
  </si>
  <si>
    <t>F4Q16</t>
  </si>
  <si>
    <t>FY 2016</t>
  </si>
  <si>
    <t>F1Q17</t>
  </si>
  <si>
    <t xml:space="preserve">Net Cash and investments per share </t>
  </si>
  <si>
    <t>Debt-to-Equity Ratio</t>
  </si>
  <si>
    <t>Dividend growth rate (YoY)</t>
  </si>
  <si>
    <t>Day Count (number of days in the quarter)</t>
  </si>
  <si>
    <t>Days sales outstanding</t>
  </si>
  <si>
    <t>Payables turnover</t>
  </si>
  <si>
    <t>Total other income/(expense)</t>
  </si>
  <si>
    <t>Share Count Analysis</t>
  </si>
  <si>
    <t>Segment &amp; Product Data</t>
  </si>
  <si>
    <t>Net Cash from Operations growth rate (YoY)</t>
  </si>
  <si>
    <t>F2Q17</t>
  </si>
  <si>
    <t>Revenue</t>
  </si>
  <si>
    <t>EBITDA</t>
  </si>
  <si>
    <t>Risk Estimation Summary (g)</t>
  </si>
  <si>
    <t>F3Q17</t>
  </si>
  <si>
    <t>FedEx Corp Income Statement</t>
  </si>
  <si>
    <t>FedEx Corp Balance Sheet</t>
  </si>
  <si>
    <t>FedEx Corp Cash Flow Statement</t>
  </si>
  <si>
    <t>F4Q17</t>
  </si>
  <si>
    <t>FY 2017</t>
  </si>
  <si>
    <t>F1Q18</t>
  </si>
  <si>
    <t>F2Q18</t>
  </si>
  <si>
    <t>F3Q18</t>
  </si>
  <si>
    <t>F4Q18</t>
  </si>
  <si>
    <t>FY 2018</t>
  </si>
  <si>
    <t>Aug-15</t>
  </si>
  <si>
    <t>Nov-15</t>
  </si>
  <si>
    <t>Feb-16</t>
  </si>
  <si>
    <t>May-16</t>
  </si>
  <si>
    <t>Aug-16</t>
  </si>
  <si>
    <t>Nov-16</t>
  </si>
  <si>
    <t>Feb-17</t>
  </si>
  <si>
    <t>May-17</t>
  </si>
  <si>
    <t>Aug-17</t>
  </si>
  <si>
    <t>Nov-17</t>
  </si>
  <si>
    <t>Feb-18</t>
  </si>
  <si>
    <t>May-18</t>
  </si>
  <si>
    <t>Aug-18</t>
  </si>
  <si>
    <t>Nov-18</t>
  </si>
  <si>
    <t>Feb-19</t>
  </si>
  <si>
    <t>May-19</t>
  </si>
  <si>
    <t>Aug-19</t>
  </si>
  <si>
    <t>Nov-19</t>
  </si>
  <si>
    <t>Feb-20</t>
  </si>
  <si>
    <t>May-20</t>
  </si>
  <si>
    <t>Aug-20</t>
  </si>
  <si>
    <t>Nov-20</t>
  </si>
  <si>
    <t>Feb-21</t>
  </si>
  <si>
    <t>May-21</t>
  </si>
  <si>
    <t>Aug-21</t>
  </si>
  <si>
    <t>Nov-21</t>
  </si>
  <si>
    <t>Feb-22</t>
  </si>
  <si>
    <t>May-22</t>
  </si>
  <si>
    <t>Aug-22</t>
  </si>
  <si>
    <t>Nov-22</t>
  </si>
  <si>
    <t>Feb-23</t>
  </si>
  <si>
    <t>May-23</t>
  </si>
  <si>
    <t>Total Revenue</t>
  </si>
  <si>
    <t>Operating expenses:</t>
  </si>
  <si>
    <t>Salaries and employee benefits</t>
  </si>
  <si>
    <t>Purchased transportation</t>
  </si>
  <si>
    <t>Rentals and landing fees</t>
  </si>
  <si>
    <t>Depreciation and amortization</t>
  </si>
  <si>
    <t>Fuel</t>
  </si>
  <si>
    <t>Maintenance and repairs</t>
  </si>
  <si>
    <t>Impairment and other charges</t>
  </si>
  <si>
    <t>Retirement plans mark-to-market adjustment</t>
  </si>
  <si>
    <t xml:space="preserve">Other  </t>
  </si>
  <si>
    <t>Total operating income/(loss)</t>
  </si>
  <si>
    <t>Other Income/(Expense):</t>
  </si>
  <si>
    <t xml:space="preserve">Other, net </t>
  </si>
  <si>
    <t>Income/(loss) before income tax</t>
  </si>
  <si>
    <t>U.S. Overnight Box Revenue ($M)</t>
  </si>
  <si>
    <t>Express Segment - U.S. Overnight Box</t>
  </si>
  <si>
    <t>Express Segment - U.S. Overnight Envelope</t>
  </si>
  <si>
    <t>U.S. Overnight Envelope Revenue ($M)</t>
  </si>
  <si>
    <t>Express Segment - U.S. Deferred</t>
  </si>
  <si>
    <t>U.S. Deferrred Revenue ($M)</t>
  </si>
  <si>
    <t>U.S. Overnight Box Yield (Revenue per package, in $)</t>
  </si>
  <si>
    <t>U.S. Overnight Envelope Yield (Revenue per package, in $)</t>
  </si>
  <si>
    <t>U.S. Deferred Yield (Revenue per package, in $)</t>
  </si>
  <si>
    <t>Express Segment - International Priority</t>
  </si>
  <si>
    <t>International Priority Yield (Revenue per package, in $)</t>
  </si>
  <si>
    <t>International Priority Revenue ($M)</t>
  </si>
  <si>
    <t>Express Segment - International Economy</t>
  </si>
  <si>
    <t>International Economy Yield (Revenue per package, in $)</t>
  </si>
  <si>
    <t>International Economy Revenue ($M)</t>
  </si>
  <si>
    <t>Express Segment - International Domestic</t>
  </si>
  <si>
    <t>International Domestic Yield (Revenue per package, in $)</t>
  </si>
  <si>
    <t>International Domestic Revenue ($M)</t>
  </si>
  <si>
    <t>Express Segment - U.S. Freight</t>
  </si>
  <si>
    <t>U.S. Freight Yield (Revenue per Freight LB, in $)</t>
  </si>
  <si>
    <t>U.S. Freight Revenue ($M)</t>
  </si>
  <si>
    <t>Express Segment - International Priority Freight</t>
  </si>
  <si>
    <t>Intl Priority Freight Yield (Revenue per Freight LB, in $)</t>
  </si>
  <si>
    <t>Intl Priority Freight Revenue ($M)</t>
  </si>
  <si>
    <t>Express Segment - International Economy Freight</t>
  </si>
  <si>
    <t>Intl Economy Freight Yield (Revenue per Freight LB, in $)</t>
  </si>
  <si>
    <t>Intl Economy Freight Revenue ($M)</t>
  </si>
  <si>
    <t>Express Segment - International Airfreight Freight</t>
  </si>
  <si>
    <t>Intl Airfreight Freight Yield (Revenue per Freight LB, in $)</t>
  </si>
  <si>
    <t>Intl Airfreight Freight Revenue ($M)</t>
  </si>
  <si>
    <t>Express Segment - Totals</t>
  </si>
  <si>
    <r>
      <rPr>
        <b/>
        <sz val="11"/>
        <rFont val="Calibri"/>
        <family val="2"/>
        <scheme val="minor"/>
      </rPr>
      <t>Packages:</t>
    </r>
    <r>
      <rPr>
        <sz val="11"/>
        <rFont val="Calibri"/>
        <family val="2"/>
        <scheme val="minor"/>
      </rPr>
      <t xml:space="preserve"> Composite Yield (Revenue per package, in $)</t>
    </r>
  </si>
  <si>
    <r>
      <rPr>
        <b/>
        <sz val="11"/>
        <rFont val="Calibri"/>
        <family val="2"/>
        <scheme val="minor"/>
      </rPr>
      <t>Freight:</t>
    </r>
    <r>
      <rPr>
        <sz val="11"/>
        <rFont val="Calibri"/>
        <family val="2"/>
        <scheme val="minor"/>
      </rPr>
      <t xml:space="preserve"> Composite Freight Yield (Revenue per package, in $)</t>
    </r>
  </si>
  <si>
    <t>Express Segment - Details</t>
  </si>
  <si>
    <t>Packages: Revenue</t>
  </si>
  <si>
    <t>Freight: Revenue</t>
  </si>
  <si>
    <t>YoY Percentage Increases in Yield</t>
  </si>
  <si>
    <t>YoY Percentage Increases in Average Daily Volume</t>
  </si>
  <si>
    <t>Other Express Revenue</t>
  </si>
  <si>
    <t>Ground Segment</t>
  </si>
  <si>
    <t>Ground Yield (Revenue per Freight LB, in $)</t>
  </si>
  <si>
    <t>FedEx Ground</t>
  </si>
  <si>
    <t>Receivables, less allowances</t>
  </si>
  <si>
    <t>Spare parts, supplies and fuel, less allowances</t>
  </si>
  <si>
    <t>Deferred income taxes</t>
  </si>
  <si>
    <t>Less: Less accumulated depreciation and amortization</t>
  </si>
  <si>
    <t>Other long-term assets</t>
  </si>
  <si>
    <t>Short-term borrowings</t>
  </si>
  <si>
    <t>Current portion of long-term debt</t>
  </si>
  <si>
    <t>Accrued salaries and employee benefits</t>
  </si>
  <si>
    <t>Long-term debt, less current portion</t>
  </si>
  <si>
    <t>Pension, postretirement healthcare and other benefit obligations</t>
  </si>
  <si>
    <t>Self-insurance accruals</t>
  </si>
  <si>
    <t>Deferred lease obligations</t>
  </si>
  <si>
    <t>Deferred gains, principally related to aircraft transactions</t>
  </si>
  <si>
    <t>Additional paid-in capital</t>
  </si>
  <si>
    <t>Treasury stock, at cost</t>
  </si>
  <si>
    <t xml:space="preserve">Depreciation and amortization </t>
  </si>
  <si>
    <t>Provision for uncollectible accounts</t>
  </si>
  <si>
    <t>Stock-based compensation expense</t>
  </si>
  <si>
    <t>Deferred income taxes and other noncash items</t>
  </si>
  <si>
    <t>Gain from sale of investment</t>
  </si>
  <si>
    <t>Changes in operating assets and liabilities, net of the effects</t>
  </si>
  <si>
    <t>Receivable</t>
  </si>
  <si>
    <t>Pension and postretirement assets and liabilities, net</t>
  </si>
  <si>
    <t>Accounts payable other operating liabilities</t>
  </si>
  <si>
    <t>Other, net</t>
  </si>
  <si>
    <t>Capital expenditures</t>
  </si>
  <si>
    <t>Business acquisitions, net of cash acquired</t>
  </si>
  <si>
    <t>Proceeds from asset dispositions and other</t>
  </si>
  <si>
    <t>Proceeds from short-term borrowings</t>
  </si>
  <si>
    <t>Principal payments on debt</t>
  </si>
  <si>
    <t>Proceeds from debt issuances</t>
  </si>
  <si>
    <t>Proceeds from stock issuances</t>
  </si>
  <si>
    <t>Purchase of treasury stock</t>
  </si>
  <si>
    <t>Effect of exchange rate changes on cash</t>
  </si>
  <si>
    <t>Excess tax benefit on the exercise of stock options</t>
  </si>
  <si>
    <t>Freight Segment</t>
  </si>
  <si>
    <t>FedEx Freight</t>
  </si>
  <si>
    <t>YoY Percentage change in weight LTL</t>
  </si>
  <si>
    <t>YoY Percentage change in shipments per day</t>
  </si>
  <si>
    <t>Weight per Less-than-Truck-Load (LTL) per shipment (lbs)</t>
  </si>
  <si>
    <t>Services Segment and Other</t>
  </si>
  <si>
    <t>FedEx Services Revenue</t>
  </si>
  <si>
    <t>YoY change in services revenue</t>
  </si>
  <si>
    <t>Express Segment Operating Expenses</t>
  </si>
  <si>
    <t>All other operating expenses</t>
  </si>
  <si>
    <t>Express operating margin</t>
  </si>
  <si>
    <t>All other operating expenses as a % of revenue</t>
  </si>
  <si>
    <t>Total fuel expense</t>
  </si>
  <si>
    <t>Price per gallon ($ per gallon)</t>
  </si>
  <si>
    <t>Jet fuel expense ($ in millions)</t>
  </si>
  <si>
    <t>Other Express fuel expense</t>
  </si>
  <si>
    <t>FedEx Ground Revenue ($M)</t>
  </si>
  <si>
    <t>Ground Segment Operating Expenses</t>
  </si>
  <si>
    <t>Express operating income</t>
  </si>
  <si>
    <t>Ground operating margin</t>
  </si>
  <si>
    <t>Freight Segment Operating Expenses</t>
  </si>
  <si>
    <t>Freight operating income</t>
  </si>
  <si>
    <t>Freight operating margin</t>
  </si>
  <si>
    <t>FedEx Freight Total Revenue ($M)</t>
  </si>
  <si>
    <t>Operating Income</t>
  </si>
  <si>
    <t>Implied opex not reported in 3 main segments:</t>
  </si>
  <si>
    <t>Fuel expense</t>
  </si>
  <si>
    <t>All other operating expense</t>
  </si>
  <si>
    <t>Reconciling items (Consolidated results vs Segments):</t>
  </si>
  <si>
    <t>Segment Reconciliation Checks:</t>
  </si>
  <si>
    <t>Depreciation and Amortization</t>
  </si>
  <si>
    <t>Fuel Expense</t>
  </si>
  <si>
    <t xml:space="preserve">Pension Fund Analysis </t>
  </si>
  <si>
    <t>Components of pre-tax MtM retirement plan adjustments:</t>
  </si>
  <si>
    <t>Actual vs expected return on assets</t>
  </si>
  <si>
    <t>Discount rate changes</t>
  </si>
  <si>
    <t>Demographic assumption experience</t>
  </si>
  <si>
    <t>Net Retirement plans mark-to-market adjustment</t>
  </si>
  <si>
    <t xml:space="preserve">Plan Assumptions and Macroeconomic Data: </t>
  </si>
  <si>
    <t>Plan Expected Return</t>
  </si>
  <si>
    <t>Plan Actual Return</t>
  </si>
  <si>
    <t>Funded Status of Plans:</t>
  </si>
  <si>
    <t>Projected Benefit Obligation (PBO)</t>
  </si>
  <si>
    <t>Fair value of plan assets</t>
  </si>
  <si>
    <t xml:space="preserve">Funded status </t>
  </si>
  <si>
    <t>Cash contributions during the year</t>
  </si>
  <si>
    <t>Benefit payments during the year</t>
  </si>
  <si>
    <t>Percentage Funded</t>
  </si>
  <si>
    <t>Impact of 1bp in expected return on pension expense  ($ in millions, disclosed in 10-K)</t>
  </si>
  <si>
    <t>Weighted Average Discount Rate (for all Plans)</t>
  </si>
  <si>
    <t xml:space="preserve">Hold flat </t>
  </si>
  <si>
    <t>Forecast assumption: Impact of changes in mortality tables (Gutenberg proxy for forecasting)</t>
  </si>
  <si>
    <t>Forecast assumption: Expected increase in Plan (market return) in excess of expected return</t>
  </si>
  <si>
    <t>Forecast assumption: Expected increase in discount rate</t>
  </si>
  <si>
    <t>Impact on MtM adjustment of 1bp increase in discount rate ($ in millions largest Plan only [use as proxy], disclosed in 10-K)</t>
  </si>
  <si>
    <t>Other Opex (exDep/Amort, Fuel and Retirement MtM)</t>
  </si>
  <si>
    <t>Fuel expense as a % of revenue</t>
  </si>
  <si>
    <t>Purchased transportation expense as a % of revenue</t>
  </si>
  <si>
    <t>Salaries and employee benefits as a % of revenue</t>
  </si>
  <si>
    <t>Property and equipment, at cost (P&amp;E)</t>
  </si>
  <si>
    <t>Total Net P&amp;E</t>
  </si>
  <si>
    <t>Depreciation &amp; amortization-to-average P&amp;E</t>
  </si>
  <si>
    <t>Spare parts, supplies and fuel as a percentage of Gross P&amp;E</t>
  </si>
  <si>
    <t>Prepaid expenses and other current assets</t>
  </si>
  <si>
    <t>Debt covenant check: Debt to Adjusted EBTIDA</t>
  </si>
  <si>
    <t>Commercial Paper-to-total Debt</t>
  </si>
  <si>
    <t>Current portion of debt-to-total Debt</t>
  </si>
  <si>
    <t>Average accrued expenses-to-revenue</t>
  </si>
  <si>
    <t>Amounts recognized in OCI (net of tax)</t>
  </si>
  <si>
    <t>Accumulated Other Comprehensive Income (AOCI):</t>
  </si>
  <si>
    <t>Total AOCI</t>
  </si>
  <si>
    <t>All other changes in AOCI</t>
  </si>
  <si>
    <t>Foreign currency translation (end of period balance)</t>
  </si>
  <si>
    <t>Retirement plan adjustments (end of period balance)</t>
  </si>
  <si>
    <t>Reconciling funded status to the Balance Sheet</t>
  </si>
  <si>
    <t>Amounts recognized in OCI (tax impact)</t>
  </si>
  <si>
    <t>Balance Sheet check</t>
  </si>
  <si>
    <t>Implied portion of liability classified as current</t>
  </si>
  <si>
    <t xml:space="preserve"> Service costs/Interest Cost/Actuarial loss/other PBO increases (note DBP only)</t>
  </si>
  <si>
    <t>Amounts recognized in OCI (gross)</t>
  </si>
  <si>
    <t>Average Self Insurance Accrual-to-revenue</t>
  </si>
  <si>
    <t>YoY Percentage Change in Other Express Revenue</t>
  </si>
  <si>
    <t>YoY Percentage Change in Other Ground Revenue</t>
  </si>
  <si>
    <t>Ground operating income ($M)</t>
  </si>
  <si>
    <t>All Other Ground Revenue ($M)</t>
  </si>
  <si>
    <t>Revenue per Shipment</t>
  </si>
  <si>
    <t>YoY change in revenue per shipment</t>
  </si>
  <si>
    <t>Express Operating Weekdays</t>
  </si>
  <si>
    <t>Ground Operating Weekdays</t>
  </si>
  <si>
    <t>Freight Operating Weekdays</t>
  </si>
  <si>
    <t>All other non-Segment Revenue and Corp cons eliminations</t>
  </si>
  <si>
    <t>All other non-Segment Operating Expense and Corp cons eliminations</t>
  </si>
  <si>
    <t>Revenue Adjustments</t>
  </si>
  <si>
    <t>Anuity contract purchase</t>
  </si>
  <si>
    <t>Settlements</t>
  </si>
  <si>
    <t>Interest expense</t>
  </si>
  <si>
    <t>Interest income</t>
  </si>
  <si>
    <t>Net Interest Income/(Expense)</t>
  </si>
  <si>
    <t>Free Cash Flow to Firm (FCFF)</t>
  </si>
  <si>
    <t>Total Debt</t>
  </si>
  <si>
    <t xml:space="preserve">Cash and investments </t>
  </si>
  <si>
    <t xml:space="preserve">Adjusted net cash  per share </t>
  </si>
  <si>
    <t>Non-GAAP Adjustments</t>
  </si>
  <si>
    <t>FedEx Supply Chain GW &amp; asset impairments (opex)</t>
  </si>
  <si>
    <t>FedEx Supply Chain GW &amp; asset impairments (tax)</t>
  </si>
  <si>
    <t>TNT Express integration expenses (opex)</t>
  </si>
  <si>
    <t>TNT Express integration expenses (tax)</t>
  </si>
  <si>
    <t>MtM Retirment plan accounting and other (opex)</t>
  </si>
  <si>
    <t>MtM Retirment plan accounting and other (tax)</t>
  </si>
  <si>
    <t>Net U.S. deferred tax liability remeasurement (tax)</t>
  </si>
  <si>
    <t>Legal matters (opex)</t>
  </si>
  <si>
    <t>Legal matters (tax)</t>
  </si>
  <si>
    <t>Non-GAAP Operating Income Adjustments</t>
  </si>
  <si>
    <t xml:space="preserve">Non-GAAP Operating Income  </t>
  </si>
  <si>
    <t>Non-GAAP tax adjustments</t>
  </si>
  <si>
    <t>Non-GAAP Net Income</t>
  </si>
  <si>
    <t>Non-GAAP Diluted EPS</t>
  </si>
  <si>
    <t>U.S. Overnight Box Average Daily Volume (ADV, in thousands)</t>
  </si>
  <si>
    <t>U.S. Overnight Envelope Average Daily Volume (ADV, in thousands)</t>
  </si>
  <si>
    <r>
      <rPr>
        <b/>
        <sz val="11"/>
        <rFont val="Calibri"/>
        <family val="2"/>
        <scheme val="minor"/>
      </rPr>
      <t>Packages:</t>
    </r>
    <r>
      <rPr>
        <sz val="11"/>
        <rFont val="Calibri"/>
        <family val="2"/>
        <scheme val="minor"/>
      </rPr>
      <t xml:space="preserve"> Total Average Daily Volume (ADV, in thousands)</t>
    </r>
  </si>
  <si>
    <r>
      <rPr>
        <b/>
        <sz val="11"/>
        <rFont val="Calibri"/>
        <family val="2"/>
        <scheme val="minor"/>
      </rPr>
      <t xml:space="preserve">Freight: </t>
    </r>
    <r>
      <rPr>
        <sz val="11"/>
        <rFont val="Calibri"/>
        <family val="2"/>
        <scheme val="minor"/>
      </rPr>
      <t>Total Average Daily Freight LBS (ADV, in thousands)</t>
    </r>
  </si>
  <si>
    <t>Jet fuel gallons (in thousands)</t>
  </si>
  <si>
    <t>U.S. Deferred Average Daily Volume (ADV, in thousands)</t>
  </si>
  <si>
    <t>International Priority Average Daily Volume (ADV, in thousands)</t>
  </si>
  <si>
    <t>International Economy Average Daily Volume (ADV, in thousands)</t>
  </si>
  <si>
    <t>International Domestic Average Daily Volume (ADV, in thousands)</t>
  </si>
  <si>
    <t>U.S. Freight Average Daily Freight LB (ADV, in thousands)</t>
  </si>
  <si>
    <t>Intl Priority Freight Average Daily Freight LB (ADV, in thousands)</t>
  </si>
  <si>
    <t>Intl Economy Freight Average Daily Freight LB (ADV, in thousands)</t>
  </si>
  <si>
    <t>Intl Airfreight Freight Average Daily Freight LB (ADV, in thousands)</t>
  </si>
  <si>
    <t>Ground Average Daily Freight LB (in thousands LBS)</t>
  </si>
  <si>
    <t>Shipments per day (in thousands)</t>
  </si>
  <si>
    <t>F1Q19E</t>
  </si>
  <si>
    <t>F2Q19E</t>
  </si>
  <si>
    <t>F3Q19E</t>
  </si>
  <si>
    <t>F4Q19E</t>
  </si>
  <si>
    <t>FY 2019E</t>
  </si>
  <si>
    <t>F1Q20E</t>
  </si>
  <si>
    <t>F2Q20E</t>
  </si>
  <si>
    <t>F3Q20E</t>
  </si>
  <si>
    <t>F4Q20E</t>
  </si>
  <si>
    <t>FY 2020E</t>
  </si>
  <si>
    <t>F1Q21E</t>
  </si>
  <si>
    <t>F2Q21E</t>
  </si>
  <si>
    <t>F3Q21E</t>
  </si>
  <si>
    <t>F4Q21E</t>
  </si>
  <si>
    <t>FY 2021E</t>
  </si>
  <si>
    <t>F1Q22E</t>
  </si>
  <si>
    <t>F2Q22E</t>
  </si>
  <si>
    <t>F3Q22E</t>
  </si>
  <si>
    <t>F4Q22E</t>
  </si>
  <si>
    <t>FY 2022E</t>
  </si>
  <si>
    <t>F1Q23E</t>
  </si>
  <si>
    <t>F2Q23E</t>
  </si>
  <si>
    <t>F3Q23E</t>
  </si>
  <si>
    <t>F4Q23E</t>
  </si>
  <si>
    <t>FY 2023E</t>
  </si>
  <si>
    <t>Provision for uncollectible accounts as a % of A/R</t>
  </si>
  <si>
    <t>Cash Flow Statement Ratios</t>
  </si>
  <si>
    <t>Corp cons eliminations (implied Total decrease in opex)</t>
  </si>
  <si>
    <t>Capex to revenue</t>
  </si>
  <si>
    <t>Equity</t>
  </si>
  <si>
    <t>Annual Interest expense as a percentage of average debt</t>
  </si>
  <si>
    <t>Annual Interest and dividend income as a % of investments</t>
  </si>
  <si>
    <t>Share-based compensation to revenue</t>
  </si>
  <si>
    <t>Average accrued salaries to salary expense</t>
  </si>
  <si>
    <t>Purple cells = Company guidance (updated 9/28/2018)</t>
  </si>
  <si>
    <t>Orange cells = Consensus estimates (updated 9/28/2018)</t>
  </si>
  <si>
    <t>Sensitivity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</si>
</sst>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2">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0.0_)\%;\(0.0\)\%;0.0_)\%;@_)_%"/>
    <numFmt numFmtId="169" formatCode="#,##0.0_)_%;\(#,##0.0\)_%;0.0_)_%;@_)_%"/>
    <numFmt numFmtId="170" formatCode="#,##0.0_);\(#,##0.0\);#,##0.0_);@_)"/>
    <numFmt numFmtId="171" formatCode="&quot;$&quot;_(#,##0.00_);&quot;$&quot;\(#,##0.00\);&quot;$&quot;_(0.00_);@_)"/>
    <numFmt numFmtId="172" formatCode="#,##0.00_);\(#,##0.00\);0.00_);@_)"/>
    <numFmt numFmtId="173" formatCode="\€_(#,##0.00_);\€\(#,##0.00\);\€_(0.00_);@_)"/>
    <numFmt numFmtId="174" formatCode="#,##0_)\x;\(#,##0\)\x;0_)\x;@_)_x"/>
    <numFmt numFmtId="175" formatCode="#,##0_)_x;\(#,##0\)_x;0_)_x;@_)_x"/>
    <numFmt numFmtId="176" formatCode="* #,##0.00_);\(#,##0.00\)"/>
    <numFmt numFmtId="177" formatCode="&quot;$&quot;#,##0;\-&quot;$&quot;#,##0"/>
    <numFmt numFmtId="178" formatCode="#,##0;\-#,##0;&quot;-&quot;"/>
    <numFmt numFmtId="179" formatCode="0.000000"/>
    <numFmt numFmtId="180" formatCode="_(* #,##0,,_);_(* \(#,##0,,\);_(* &quot;-&quot;_)"/>
    <numFmt numFmtId="181" formatCode="_(* #,##0_);[Red]_(* \(#,##0\);_(* &quot;&quot;&quot;&quot;&quot;&quot;&quot;&quot;\ \-\ &quot;&quot;&quot;&quot;&quot;&quot;&quot;&quot;_);_(@_)"/>
    <numFmt numFmtId="182" formatCode="&quot;£&quot;#,##0;[Red]\-&quot;£&quot;#,##0"/>
    <numFmt numFmtId="183" formatCode="_(* #,##0,_);[Red]_(* \(#,##0,\);_(* &quot;&quot;&quot;&quot;&quot;&quot;&quot;&quot;\ \-\ &quot;&quot;&quot;&quot;&quot;&quot;&quot;&quot;_);_(@_)"/>
    <numFmt numFmtId="184" formatCode="0.00_);[Red]\(0.00\)"/>
    <numFmt numFmtId="185" formatCode="0%;\(0%\);;"/>
    <numFmt numFmtId="186" formatCode="&quot;£&quot;#,##0.00;[Red]\-&quot;£&quot;#,##0.00"/>
    <numFmt numFmtId="187" formatCode="_(* #,##0.000_);_(* \(#,##0.000\);_(* &quot;-&quot;_);_(@_)"/>
    <numFmt numFmtId="188" formatCode="0%;\(0%\);&quot;-&quot;"/>
    <numFmt numFmtId="189" formatCode="_-&quot;£&quot;* #,##0_-;\-&quot;£&quot;* #,##0_-;_-&quot;£&quot;* &quot;-&quot;_-;_-@_-"/>
    <numFmt numFmtId="190" formatCode="_(&quot;$&quot;* #,##0,_);_(&quot;$&quot;* \(#,##0,\);_(&quot;$&quot;* &quot;-&quot;_);_(@_)"/>
    <numFmt numFmtId="191" formatCode="#,##0\ ;\(#,##0.0\)"/>
    <numFmt numFmtId="192" formatCode="0.0"/>
    <numFmt numFmtId="193" formatCode="#,##0.00;\-#,##0.00;&quot;-&quot;"/>
    <numFmt numFmtId="194" formatCode="_._.* \(#,##0\)_%;_._.* #,##0_)_%;_._.* 0_)_%;_._.@_)_%"/>
    <numFmt numFmtId="195" formatCode="_._.&quot;$&quot;* \(#,##0\)_%;_._.&quot;$&quot;* #,##0_)_%;_._.&quot;$&quot;* 0_)_%;_._.@_)_%"/>
    <numFmt numFmtId="196" formatCode="&quot;$&quot;0.00_)"/>
    <numFmt numFmtId="197" formatCode="&quot;SFr.&quot;\ #,##0.00;&quot;SFr.&quot;\ \-#,##0.00"/>
    <numFmt numFmtId="198" formatCode="#,##0;\(#,##0\)"/>
    <numFmt numFmtId="199" formatCode="_([$€-2]* #,##0.00_);_([$€-2]* \(#,##0.00\);_([$€-2]* &quot;-&quot;??_)"/>
    <numFmt numFmtId="200" formatCode="_-* #,##0\ _D_M_-;\-* #,##0\ _D_M_-;_-* &quot;-&quot;\ _D_M_-;_-@_-"/>
    <numFmt numFmtId="201" formatCode="_-* #,##0.00\ _D_M_-;\-* #,##0.00\ _D_M_-;_-* &quot;-&quot;??\ _D_M_-;_-@_-"/>
    <numFmt numFmtId="202" formatCode="_-* #,##0\ &quot;DM&quot;_-;\-* #,##0\ &quot;DM&quot;_-;_-* &quot;-&quot;\ &quot;DM&quot;_-;_-@_-"/>
    <numFmt numFmtId="203" formatCode="_-* #,##0.00\ &quot;DM&quot;_-;\-* #,##0.00\ &quot;DM&quot;_-;_-* &quot;-&quot;??\ &quot;DM&quot;_-;_-@_-"/>
    <numFmt numFmtId="204" formatCode="#,##0.0_);\(#,##0.0\)"/>
    <numFmt numFmtId="205" formatCode="#,##0.0\ ;\(#,##0.0\)"/>
    <numFmt numFmtId="206" formatCode="0%;\(0%\)"/>
    <numFmt numFmtId="207" formatCode="&quot;SFr.&quot;#,##0;[Red]&quot;SFr.&quot;\-#,##0"/>
    <numFmt numFmtId="208" formatCode="#,##0.0000000000;\-#,##0.0000000000"/>
    <numFmt numFmtId="209" formatCode="#,##0.0;\-#,##0.0"/>
    <numFmt numFmtId="210" formatCode="#,##0.000;\-#,##0.000"/>
    <numFmt numFmtId="211" formatCode="#,##0.0000;\-#,##0.0000"/>
    <numFmt numFmtId="212" formatCode="#,##0.00000;\-#,##0.00000"/>
    <numFmt numFmtId="213" formatCode="#,##0.000000;\-#,##0.000000"/>
    <numFmt numFmtId="214" formatCode="#,##0.0000000;\-#,##0.0000000"/>
    <numFmt numFmtId="215" formatCode="#,##0.00000000;\-#,##0.00000000"/>
    <numFmt numFmtId="216" formatCode="#,##0.000000000;\-#,##0.000000000"/>
    <numFmt numFmtId="217" formatCode="#,##0___);\(#,##0.00\)"/>
    <numFmt numFmtId="218" formatCode="#,##0&quot;%&quot;"/>
    <numFmt numFmtId="219" formatCode="#,##0_);[Red]\(#,##0\);&quot;-&quot;"/>
    <numFmt numFmtId="220" formatCode="_-&quot;£&quot;* #,##0.00_-;\-&quot;£&quot;* #,##0.00_-;_-&quot;£&quot;* &quot;-&quot;??_-;_-@_-"/>
    <numFmt numFmtId="221" formatCode="*-"/>
    <numFmt numFmtId="222" formatCode="#,##0;[Red]\(#,##0\)"/>
    <numFmt numFmtId="223" formatCode="_-&quot;$&quot;* #,##0_-;\-&quot;$&quot;* #,##0_-;_-&quot;$&quot;* &quot;-&quot;_-;_-@_-"/>
    <numFmt numFmtId="224" formatCode="_-&quot;$&quot;* #,##0.00_-;\-&quot;$&quot;* #,##0.00_-;_-&quot;$&quot;* &quot;-&quot;??_-;_-@_-"/>
    <numFmt numFmtId="225" formatCode="&quot;$&quot;#,##0.0_);[Red]\(&quot;$&quot;#,##0.0\)"/>
    <numFmt numFmtId="227" formatCode="&quot;$&quot;#,##0.000_);\(&quot;$&quot;#,##0.000\)"/>
    <numFmt numFmtId="229" formatCode="0.0\x"/>
    <numFmt numFmtId="230" formatCode="0.0000%"/>
  </numFmts>
  <fonts count="8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name val="Calibri"/>
      <family val="2"/>
    </font>
    <font>
      <sz val="9"/>
      <color indexed="81"/>
      <name val="Tahoma"/>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Times New Roman"/>
      <family val="1"/>
    </font>
    <font>
      <sz val="10"/>
      <name val="Helv"/>
      <family val="2"/>
    </font>
    <font>
      <sz val="8"/>
      <name val="Helv"/>
    </font>
    <font>
      <b/>
      <sz val="12"/>
      <name val="Tms Rmn"/>
    </font>
    <font>
      <b/>
      <i/>
      <sz val="12"/>
      <name val="Tms Rmn"/>
    </font>
    <font>
      <b/>
      <sz val="10"/>
      <name val="MS Sans Serif"/>
      <family val="2"/>
    </font>
    <font>
      <sz val="10"/>
      <color indexed="8"/>
      <name val="Arial"/>
      <family val="2"/>
    </font>
    <font>
      <b/>
      <sz val="11"/>
      <name val="Arial"/>
      <family val="2"/>
    </font>
    <font>
      <sz val="10"/>
      <name val="Helv"/>
    </font>
    <font>
      <sz val="10"/>
      <color theme="1"/>
      <name val="Arial"/>
      <family val="2"/>
    </font>
    <font>
      <sz val="10"/>
      <color indexed="0"/>
      <name val="MS Sans Serif"/>
      <family val="2"/>
    </font>
    <font>
      <b/>
      <sz val="14"/>
      <name val="Arial"/>
      <family val="2"/>
    </font>
    <font>
      <sz val="11"/>
      <color indexed="12"/>
      <name val="Times New Roman"/>
      <family val="1"/>
    </font>
    <font>
      <sz val="11"/>
      <name val="Times New Roman"/>
      <family val="1"/>
    </font>
    <font>
      <sz val="10"/>
      <color indexed="12"/>
      <name val="Helv"/>
    </font>
    <font>
      <sz val="8"/>
      <color indexed="18"/>
      <name val="Helv"/>
    </font>
    <font>
      <b/>
      <u/>
      <sz val="10"/>
      <color indexed="8"/>
      <name val="Times New Roman"/>
      <family val="1"/>
    </font>
    <font>
      <sz val="10"/>
      <color indexed="12"/>
      <name val="Arial"/>
      <family val="2"/>
    </font>
    <font>
      <sz val="8"/>
      <name val="Arial"/>
      <family val="2"/>
    </font>
    <font>
      <b/>
      <sz val="12"/>
      <name val="Arial"/>
      <family val="2"/>
    </font>
    <font>
      <b/>
      <sz val="10"/>
      <name val="Arial"/>
      <family val="2"/>
    </font>
    <font>
      <u/>
      <sz val="11"/>
      <color theme="10"/>
      <name val="Calibri"/>
      <family val="2"/>
    </font>
    <font>
      <u/>
      <sz val="10"/>
      <color indexed="12"/>
      <name val="Arial"/>
      <family val="2"/>
    </font>
    <font>
      <u/>
      <sz val="10"/>
      <color theme="10"/>
      <name val="Trebuchet MS"/>
      <family val="2"/>
    </font>
    <font>
      <sz val="10"/>
      <color indexed="14"/>
      <name val="Arial"/>
      <family val="2"/>
    </font>
    <font>
      <sz val="10"/>
      <name val="MS Sans Serif"/>
      <family val="2"/>
    </font>
    <font>
      <sz val="7"/>
      <name val="Small Fonts"/>
      <family val="2"/>
    </font>
    <font>
      <sz val="12"/>
      <name val="Helv"/>
      <family val="2"/>
    </font>
    <font>
      <sz val="10"/>
      <name val="Trebuchet MS"/>
      <family val="2"/>
    </font>
    <font>
      <sz val="10"/>
      <name val="Tms Rmn"/>
    </font>
    <font>
      <sz val="10"/>
      <name val="Tms Rmn"/>
      <family val="1"/>
    </font>
    <font>
      <sz val="11"/>
      <color indexed="8"/>
      <name val="Calibri"/>
      <family val="2"/>
    </font>
    <font>
      <b/>
      <u/>
      <sz val="26"/>
      <color indexed="9"/>
      <name val="Arial"/>
      <family val="2"/>
    </font>
    <font>
      <sz val="10"/>
      <color indexed="10"/>
      <name val="Arial"/>
      <family val="2"/>
    </font>
    <font>
      <sz val="12"/>
      <name val="Helv"/>
    </font>
    <font>
      <sz val="10"/>
      <color rgb="FF404040"/>
      <name val="Segoe UI"/>
      <family val="2"/>
    </font>
    <font>
      <b/>
      <sz val="10"/>
      <color rgb="FF404040"/>
      <name val="Segoe UI"/>
      <family val="2"/>
    </font>
    <font>
      <b/>
      <sz val="10"/>
      <color indexed="10"/>
      <name val="Arial"/>
      <family val="2"/>
    </font>
    <font>
      <sz val="8"/>
      <name val="Tms Rmn"/>
    </font>
    <font>
      <u/>
      <sz val="11"/>
      <color theme="10"/>
      <name val="Calibri"/>
      <family val="2"/>
      <scheme val="minor"/>
    </font>
    <font>
      <i/>
      <sz val="11"/>
      <color rgb="FFFF0000"/>
      <name val="Calibri"/>
      <family val="2"/>
      <scheme val="minor"/>
    </font>
    <font>
      <b/>
      <u val="singleAccounting"/>
      <sz val="11"/>
      <name val="Calibri"/>
      <family val="2"/>
      <scheme val="minor"/>
    </font>
    <font>
      <b/>
      <sz val="11"/>
      <color rgb="FFFF0000"/>
      <name val="Calibri"/>
      <family val="2"/>
      <scheme val="minor"/>
    </font>
    <font>
      <u/>
      <sz val="11"/>
      <color rgb="FFFF0000"/>
      <name val="Calibri"/>
      <family val="2"/>
      <scheme val="minor"/>
    </font>
    <font>
      <b/>
      <u val="singleAccounting"/>
      <sz val="11"/>
      <color rgb="FFFF0000"/>
      <name val="Calibri"/>
      <family val="2"/>
      <scheme val="minor"/>
    </font>
    <font>
      <b/>
      <u/>
      <sz val="11"/>
      <color rgb="FFFF0000"/>
      <name val="Calibri"/>
      <family val="2"/>
      <scheme val="minor"/>
    </font>
    <font>
      <b/>
      <sz val="11"/>
      <color theme="2"/>
      <name val="Calibri"/>
      <family val="2"/>
      <scheme val="minor"/>
    </font>
    <font>
      <b/>
      <u val="singleAccounting"/>
      <sz val="11"/>
      <color theme="2"/>
      <name val="Calibri"/>
      <family val="2"/>
      <scheme val="minor"/>
    </font>
    <font>
      <b/>
      <u/>
      <sz val="12"/>
      <color theme="2"/>
      <name val="Calibri"/>
      <family val="2"/>
      <scheme val="minor"/>
    </font>
    <font>
      <sz val="10"/>
      <color theme="2"/>
      <name val="Calibri"/>
      <family val="2"/>
      <scheme val="minor"/>
    </font>
    <font>
      <sz val="11"/>
      <name val="Calibri"/>
      <family val="2"/>
      <scheme val="minor"/>
    </font>
    <font>
      <i/>
      <sz val="11"/>
      <name val="Calibri"/>
      <family val="2"/>
      <scheme val="minor"/>
    </font>
    <font>
      <b/>
      <sz val="11"/>
      <name val="Calibri"/>
      <family val="2"/>
      <scheme val="minor"/>
    </font>
    <font>
      <u val="singleAccounting"/>
      <sz val="11"/>
      <name val="Calibri"/>
      <family val="2"/>
      <scheme val="minor"/>
    </font>
    <font>
      <b/>
      <u/>
      <sz val="11"/>
      <name val="Calibri"/>
      <family val="2"/>
      <scheme val="minor"/>
    </font>
    <font>
      <b/>
      <u/>
      <sz val="12"/>
      <name val="Calibri"/>
      <family val="2"/>
      <scheme val="minor"/>
    </font>
    <font>
      <u/>
      <sz val="11"/>
      <name val="Calibri"/>
      <family val="2"/>
      <scheme val="minor"/>
    </font>
    <font>
      <i/>
      <sz val="8"/>
      <color rgb="FFFF0000"/>
      <name val="Calibri"/>
      <family val="2"/>
      <scheme val="minor"/>
    </font>
    <font>
      <i/>
      <sz val="6"/>
      <color rgb="FFFF0000"/>
      <name val="Calibri"/>
      <family val="2"/>
      <scheme val="minor"/>
    </font>
    <font>
      <b/>
      <u val="singleAccounting"/>
      <sz val="6"/>
      <color rgb="FFFF0000"/>
      <name val="Calibri"/>
      <family val="2"/>
      <scheme val="minor"/>
    </font>
    <font>
      <i/>
      <u/>
      <sz val="11"/>
      <name val="Calibri"/>
      <family val="2"/>
      <scheme val="minor"/>
    </font>
    <font>
      <i/>
      <sz val="9"/>
      <color theme="3" tint="0.39997558519241921"/>
      <name val="Calibri"/>
      <family val="2"/>
      <scheme val="minor"/>
    </font>
    <font>
      <i/>
      <u/>
      <sz val="11"/>
      <color theme="3" tint="0.39997558519241921"/>
      <name val="Calibri"/>
      <family val="2"/>
      <scheme val="minor"/>
    </font>
    <font>
      <sz val="9.5"/>
      <name val="Calibri"/>
      <family val="2"/>
      <scheme val="minor"/>
    </font>
    <font>
      <b/>
      <i/>
      <sz val="11"/>
      <color theme="3" tint="0.39997558519241921"/>
      <name val="Calibri"/>
      <family val="2"/>
      <scheme val="minor"/>
    </font>
    <font>
      <i/>
      <sz val="11"/>
      <color theme="3" tint="0.39997558519241921"/>
      <name val="Calibri"/>
      <family val="2"/>
      <scheme val="minor"/>
    </font>
    <font>
      <sz val="11"/>
      <color theme="3" tint="0.39997558519241921"/>
      <name val="Calibri"/>
      <family val="2"/>
      <scheme val="minor"/>
    </font>
    <font>
      <b/>
      <sz val="11"/>
      <color theme="3" tint="0.39997558519241921"/>
      <name val="Calibri"/>
      <family val="2"/>
      <scheme val="minor"/>
    </font>
    <font>
      <b/>
      <u val="singleAccounting"/>
      <sz val="11"/>
      <color theme="3" tint="0.39997558519241921"/>
      <name val="Calibri"/>
      <family val="2"/>
      <scheme val="minor"/>
    </font>
    <font>
      <u val="singleAccounting"/>
      <sz val="11"/>
      <color theme="3" tint="0.39997558519241921"/>
      <name val="Calibri"/>
      <family val="2"/>
      <scheme val="minor"/>
    </font>
    <font>
      <sz val="11"/>
      <color theme="1" tint="0.14999847407452621"/>
      <name val="Calibri"/>
      <family val="2"/>
      <scheme val="minor"/>
    </font>
    <font>
      <b/>
      <sz val="11"/>
      <color theme="1" tint="0.14999847407452621"/>
      <name val="Calibri"/>
      <family val="2"/>
      <scheme val="minor"/>
    </font>
    <font>
      <b/>
      <u/>
      <sz val="11"/>
      <color theme="1" tint="0.14999847407452621"/>
      <name val="Calibri"/>
      <family val="2"/>
      <scheme val="minor"/>
    </font>
    <font>
      <u val="singleAccounting"/>
      <sz val="11"/>
      <color theme="1" tint="0.14999847407452621"/>
      <name val="Calibri"/>
      <family val="2"/>
      <scheme val="minor"/>
    </font>
    <font>
      <sz val="11"/>
      <color theme="0"/>
      <name val="Calibri"/>
      <family val="2"/>
      <scheme val="minor"/>
    </font>
    <font>
      <b/>
      <sz val="9"/>
      <color indexed="81"/>
      <name val="Tahoma"/>
      <family val="2"/>
    </font>
  </fonts>
  <fills count="14">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indexed="43"/>
      </patternFill>
    </fill>
    <fill>
      <patternFill patternType="solid">
        <fgColor indexed="22"/>
        <bgColor indexed="64"/>
      </patternFill>
    </fill>
    <fill>
      <patternFill patternType="solid">
        <fgColor indexed="27"/>
        <bgColor indexed="64"/>
      </patternFill>
    </fill>
    <fill>
      <patternFill patternType="solid">
        <fgColor indexed="26"/>
        <bgColor indexed="64"/>
      </patternFill>
    </fill>
    <fill>
      <patternFill patternType="solid">
        <fgColor indexed="44"/>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rgb="FFFFFF00"/>
        <bgColor indexed="64"/>
      </patternFill>
    </fill>
  </fills>
  <borders count="81">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thin">
        <color auto="1"/>
      </top>
      <bottom style="thin">
        <color auto="1"/>
      </bottom>
      <diagonal/>
    </border>
    <border>
      <left/>
      <right/>
      <top style="hair">
        <color indexed="8"/>
      </top>
      <bottom style="hair">
        <color indexed="8"/>
      </bottom>
      <diagonal/>
    </border>
    <border>
      <left/>
      <right/>
      <top/>
      <bottom style="medium">
        <color indexed="18"/>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hair">
        <color auto="1"/>
      </bottom>
      <diagonal/>
    </border>
    <border>
      <left/>
      <right/>
      <top/>
      <bottom style="hair">
        <color auto="1"/>
      </bottom>
      <diagonal/>
    </border>
    <border>
      <left/>
      <right/>
      <top style="hair">
        <color auto="1"/>
      </top>
      <bottom/>
      <diagonal/>
    </border>
    <border>
      <left style="thin">
        <color auto="1"/>
      </left>
      <right style="thin">
        <color auto="1"/>
      </right>
      <top style="hair">
        <color auto="1"/>
      </top>
      <bottom/>
      <diagonal/>
    </border>
    <border>
      <left style="thin">
        <color auto="1"/>
      </left>
      <right/>
      <top style="mediumDashed">
        <color auto="1"/>
      </top>
      <bottom/>
      <diagonal/>
    </border>
    <border>
      <left/>
      <right style="thin">
        <color auto="1"/>
      </right>
      <top style="mediumDashed">
        <color auto="1"/>
      </top>
      <bottom/>
      <diagonal/>
    </border>
    <border>
      <left/>
      <right/>
      <top style="mediumDashed">
        <color auto="1"/>
      </top>
      <bottom/>
      <diagonal/>
    </border>
    <border>
      <left style="thin">
        <color auto="1"/>
      </left>
      <right style="thin">
        <color auto="1"/>
      </right>
      <top/>
      <bottom style="mediumDashed">
        <color auto="1"/>
      </bottom>
      <diagonal/>
    </border>
    <border>
      <left style="thin">
        <color auto="1"/>
      </left>
      <right/>
      <top/>
      <bottom style="mediumDashed">
        <color auto="1"/>
      </bottom>
      <diagonal/>
    </border>
    <border>
      <left/>
      <right style="thin">
        <color auto="1"/>
      </right>
      <top/>
      <bottom style="mediumDashed">
        <color auto="1"/>
      </bottom>
      <diagonal/>
    </border>
    <border>
      <left/>
      <right/>
      <top/>
      <bottom style="mediumDashed">
        <color auto="1"/>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hair">
        <color theme="0" tint="-0.499984740745262"/>
      </top>
      <bottom style="thin">
        <color theme="0" tint="-0.499984740745262"/>
      </bottom>
      <diagonal/>
    </border>
    <border>
      <left style="thin">
        <color theme="0" tint="-0.499984740745262"/>
      </left>
      <right style="hair">
        <color theme="0" tint="-0.499984740745262"/>
      </right>
      <top style="thin">
        <color theme="0" tint="-0.499984740745262"/>
      </top>
      <bottom style="hair">
        <color theme="0" tint="-0.499984740745262"/>
      </bottom>
      <diagonal/>
    </border>
    <border>
      <left style="hair">
        <color theme="0" tint="-0.499984740745262"/>
      </left>
      <right style="hair">
        <color theme="0" tint="-0.499984740745262"/>
      </right>
      <top style="thin">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right/>
      <top style="hair">
        <color theme="0" tint="-0.499984740745262"/>
      </top>
      <bottom style="hair">
        <color theme="0" tint="-0.499984740745262"/>
      </bottom>
      <diagonal/>
    </border>
    <border>
      <left/>
      <right style="hair">
        <color theme="0" tint="-0.499984740745262"/>
      </right>
      <top style="hair">
        <color theme="0" tint="-0.499984740745262"/>
      </top>
      <bottom style="thin">
        <color theme="0" tint="-0.499984740745262"/>
      </bottom>
      <diagonal/>
    </border>
    <border>
      <left style="hair">
        <color theme="0" tint="-0.499984740745262"/>
      </left>
      <right/>
      <top style="thin">
        <color theme="0" tint="-0.499984740745262"/>
      </top>
      <bottom style="hair">
        <color theme="0" tint="-0.499984740745262"/>
      </bottom>
      <diagonal/>
    </border>
    <border>
      <left style="hair">
        <color theme="0" tint="-0.499984740745262"/>
      </left>
      <right/>
      <top style="hair">
        <color theme="0" tint="-0.499984740745262"/>
      </top>
      <bottom style="thin">
        <color theme="0" tint="-0.499984740745262"/>
      </bottom>
      <diagonal/>
    </border>
    <border>
      <left style="thin">
        <color theme="0" tint="-0.499984740745262"/>
      </left>
      <right style="thin">
        <color theme="0" tint="-0.499984740745262"/>
      </right>
      <top/>
      <bottom style="hair">
        <color theme="0" tint="-0.499984740745262"/>
      </bottom>
      <diagonal/>
    </border>
    <border>
      <left style="thin">
        <color theme="0" tint="-0.499984740745262"/>
      </left>
      <right style="thin">
        <color theme="0" tint="-0.499984740745262"/>
      </right>
      <top style="hair">
        <color theme="0" tint="-0.499984740745262"/>
      </top>
      <bottom/>
      <diagonal/>
    </border>
    <border>
      <left style="thin">
        <color theme="0" tint="-0.499984740745262"/>
      </left>
      <right style="hair">
        <color theme="0" tint="-0.499984740745262"/>
      </right>
      <top style="hair">
        <color theme="0" tint="-0.499984740745262"/>
      </top>
      <bottom/>
      <diagonal/>
    </border>
    <border>
      <left/>
      <right style="hair">
        <color theme="0" tint="-0.499984740745262"/>
      </right>
      <top style="hair">
        <color theme="0" tint="-0.499984740745262"/>
      </top>
      <bottom/>
      <diagonal/>
    </border>
    <border>
      <left style="hair">
        <color theme="0" tint="-0.499984740745262"/>
      </left>
      <right style="hair">
        <color theme="0" tint="-0.499984740745262"/>
      </right>
      <top/>
      <bottom/>
      <diagonal/>
    </border>
    <border>
      <left style="hair">
        <color theme="0" tint="-0.499984740745262"/>
      </left>
      <right/>
      <top style="hair">
        <color theme="0" tint="-0.499984740745262"/>
      </top>
      <bottom/>
      <diagonal/>
    </border>
    <border>
      <left/>
      <right style="hair">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rgb="FFBFBFBF"/>
      </left>
      <right style="medium">
        <color rgb="FFBFBFBF"/>
      </right>
      <top style="medium">
        <color rgb="FFBFBFBF"/>
      </top>
      <bottom style="medium">
        <color rgb="FFBFBFBF"/>
      </bottom>
      <diagonal/>
    </border>
    <border>
      <left style="thin">
        <color theme="0" tint="-0.499984740745262"/>
      </left>
      <right/>
      <top style="thin">
        <color auto="1"/>
      </top>
      <bottom style="thin">
        <color theme="0" tint="-0.499984740745262"/>
      </bottom>
      <diagonal/>
    </border>
    <border>
      <left/>
      <right/>
      <top style="thin">
        <color auto="1"/>
      </top>
      <bottom style="thin">
        <color theme="0" tint="-0.499984740745262"/>
      </bottom>
      <diagonal/>
    </border>
    <border>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hair">
        <color theme="0" tint="-0.499984740745262"/>
      </left>
      <right style="thin">
        <color auto="1"/>
      </right>
      <top style="thin">
        <color theme="0" tint="-0.499984740745262"/>
      </top>
      <bottom style="hair">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style="hair">
        <color theme="0" tint="-0.499984740745262"/>
      </bottom>
      <diagonal/>
    </border>
    <border>
      <left style="thin">
        <color auto="1"/>
      </left>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diagonal/>
    </border>
    <border>
      <left style="hair">
        <color theme="0" tint="-0.499984740745262"/>
      </left>
      <right style="thin">
        <color auto="1"/>
      </right>
      <top style="hair">
        <color theme="0" tint="-0.499984740745262"/>
      </top>
      <bottom style="thin">
        <color theme="0" tint="-0.499984740745262"/>
      </bottom>
      <diagonal/>
    </border>
  </borders>
  <cellStyleXfs count="3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top"/>
    </xf>
    <xf numFmtId="0" fontId="5" fillId="0" borderId="0"/>
    <xf numFmtId="43" fontId="5"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3" fillId="4" borderId="0" applyNumberFormat="0" applyFont="0" applyAlignment="0" applyProtection="0"/>
    <xf numFmtId="174" fontId="3" fillId="0" borderId="0" applyFont="0" applyFill="0" applyBorder="0" applyAlignment="0" applyProtection="0"/>
    <xf numFmtId="175" fontId="3" fillId="0" borderId="0" applyFont="0" applyFill="0" applyBorder="0" applyProtection="0">
      <alignment horizontal="right"/>
    </xf>
    <xf numFmtId="0" fontId="8" fillId="0" borderId="0" applyNumberFormat="0" applyFill="0" applyBorder="0" applyProtection="0">
      <alignment vertical="top"/>
    </xf>
    <xf numFmtId="0" fontId="8" fillId="0" borderId="0" applyNumberFormat="0" applyFill="0" applyBorder="0" applyProtection="0">
      <alignment vertical="top"/>
    </xf>
    <xf numFmtId="0" fontId="8" fillId="0" borderId="0" applyNumberFormat="0" applyFill="0" applyBorder="0" applyProtection="0">
      <alignment vertical="top"/>
    </xf>
    <xf numFmtId="0" fontId="8" fillId="0" borderId="0" applyNumberFormat="0" applyFill="0" applyBorder="0" applyProtection="0">
      <alignment vertical="top"/>
    </xf>
    <xf numFmtId="0" fontId="8" fillId="0" borderId="0" applyNumberFormat="0" applyFill="0" applyBorder="0" applyProtection="0">
      <alignment vertical="top"/>
    </xf>
    <xf numFmtId="0" fontId="9" fillId="0" borderId="17" applyNumberFormat="0" applyFill="0" applyAlignment="0" applyProtection="0"/>
    <xf numFmtId="0" fontId="10" fillId="0" borderId="18" applyNumberFormat="0" applyFill="0" applyProtection="0">
      <alignment horizontal="center"/>
    </xf>
    <xf numFmtId="0" fontId="10" fillId="0" borderId="0" applyNumberFormat="0" applyFill="0" applyBorder="0" applyProtection="0">
      <alignment horizontal="left"/>
    </xf>
    <xf numFmtId="0" fontId="11" fillId="0" borderId="0" applyNumberFormat="0" applyFill="0" applyBorder="0" applyProtection="0">
      <alignment horizontal="centerContinuous"/>
    </xf>
    <xf numFmtId="0" fontId="12" fillId="0" borderId="0" applyNumberFormat="0" applyFill="0" applyBorder="0" applyAlignment="0" applyProtection="0"/>
    <xf numFmtId="0" fontId="13" fillId="0" borderId="0"/>
    <xf numFmtId="176" fontId="14" fillId="0" borderId="0">
      <alignment horizontal="center"/>
    </xf>
    <xf numFmtId="37" fontId="15" fillId="0" borderId="0"/>
    <xf numFmtId="37" fontId="16" fillId="0" borderId="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7" fillId="0" borderId="2" applyAlignment="0" applyProtection="0"/>
    <xf numFmtId="177" fontId="17" fillId="0" borderId="2" applyAlignment="0" applyProtection="0"/>
    <xf numFmtId="177" fontId="17" fillId="0" borderId="2" applyAlignment="0" applyProtection="0"/>
    <xf numFmtId="177" fontId="1" fillId="0" borderId="0" applyAlignment="0" applyProtection="0"/>
    <xf numFmtId="178" fontId="18" fillId="0" borderId="0" applyFill="0" applyBorder="0" applyAlignment="0"/>
    <xf numFmtId="179" fontId="3" fillId="0" borderId="0" applyFill="0" applyBorder="0" applyAlignment="0"/>
    <xf numFmtId="180" fontId="3" fillId="0" borderId="0" applyFill="0" applyBorder="0" applyAlignment="0"/>
    <xf numFmtId="164" fontId="3" fillId="0" borderId="0" applyFill="0" applyBorder="0" applyAlignment="0"/>
    <xf numFmtId="181" fontId="3" fillId="0" borderId="0" applyFill="0" applyBorder="0" applyAlignment="0"/>
    <xf numFmtId="182" fontId="3" fillId="0" borderId="0" applyFill="0" applyBorder="0" applyAlignment="0"/>
    <xf numFmtId="183" fontId="3" fillId="0" borderId="0" applyFill="0" applyBorder="0" applyAlignment="0"/>
    <xf numFmtId="184" fontId="3" fillId="0" borderId="0" applyFill="0" applyBorder="0" applyAlignment="0"/>
    <xf numFmtId="185" fontId="3" fillId="0" borderId="0" applyFill="0" applyBorder="0" applyAlignment="0"/>
    <xf numFmtId="186" fontId="3" fillId="0" borderId="0" applyFill="0" applyBorder="0" applyAlignment="0"/>
    <xf numFmtId="178" fontId="18"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0" fontId="19" fillId="0" borderId="0" applyFill="0" applyBorder="0" applyProtection="0">
      <alignment horizontal="center"/>
      <protection locked="0"/>
    </xf>
    <xf numFmtId="0" fontId="20"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1" fontId="20" fillId="0" borderId="7"/>
    <xf numFmtId="192" fontId="1" fillId="0" borderId="0"/>
    <xf numFmtId="0" fontId="13" fillId="0" borderId="7"/>
    <xf numFmtId="192" fontId="1" fillId="0" borderId="0"/>
    <xf numFmtId="178" fontId="3" fillId="0" borderId="0" applyFont="0" applyFill="0" applyBorder="0" applyAlignment="0" applyProtection="0"/>
    <xf numFmtId="187" fontId="3" fillId="0" borderId="0" applyFont="0" applyFill="0" applyBorder="0" applyAlignment="0" applyProtection="0"/>
    <xf numFmtId="43" fontId="3" fillId="0" borderId="0" applyFont="0" applyFill="0" applyBorder="0" applyAlignment="0" applyProtection="0">
      <alignment wrapText="1"/>
    </xf>
    <xf numFmtId="43" fontId="1" fillId="0" borderId="0" applyFont="0" applyFill="0" applyBorder="0" applyAlignment="0" applyProtection="0"/>
    <xf numFmtId="43" fontId="3" fillId="0" borderId="0" applyFont="0" applyFill="0" applyBorder="0" applyAlignment="0" applyProtection="0">
      <alignment wrapText="1"/>
    </xf>
    <xf numFmtId="43" fontId="3" fillId="0" borderId="0" applyFont="0" applyFill="0" applyBorder="0" applyAlignment="0" applyProtection="0">
      <alignment wrapText="1"/>
    </xf>
    <xf numFmtId="43" fontId="3" fillId="0" borderId="0" applyFont="0" applyFill="0" applyBorder="0" applyAlignment="0" applyProtection="0"/>
    <xf numFmtId="4" fontId="20" fillId="0" borderId="0" applyFont="0" applyFill="0" applyBorder="0" applyAlignment="0" applyProtection="0"/>
    <xf numFmtId="4" fontId="20" fillId="0" borderId="0" applyFont="0" applyFill="0" applyBorder="0" applyAlignment="0" applyProtection="0"/>
    <xf numFmtId="43" fontId="1" fillId="0" borderId="0" applyFont="0" applyFill="0" applyBorder="0" applyAlignment="0" applyProtection="0"/>
    <xf numFmtId="4" fontId="1" fillId="0" borderId="0" applyFont="0" applyFill="0" applyBorder="0" applyAlignment="0" applyProtection="0"/>
    <xf numFmtId="43" fontId="21" fillId="0" borderId="0" applyFont="0" applyFill="0" applyBorder="0" applyAlignment="0" applyProtection="0"/>
    <xf numFmtId="4" fontId="1" fillId="0" borderId="0" applyFont="0" applyFill="0" applyBorder="0" applyAlignment="0" applyProtection="0"/>
    <xf numFmtId="4" fontId="1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22" fillId="0" borderId="0" applyNumberFormat="0" applyFill="0" applyBorder="0" applyAlignment="0" applyProtection="0"/>
    <xf numFmtId="0" fontId="23" fillId="0" borderId="0" applyFill="0" applyBorder="0" applyAlignment="0" applyProtection="0">
      <protection locked="0"/>
    </xf>
    <xf numFmtId="193" fontId="3" fillId="0" borderId="0">
      <alignment horizontal="center"/>
    </xf>
    <xf numFmtId="194" fontId="24" fillId="0" borderId="0" applyFill="0" applyBorder="0" applyProtection="0"/>
    <xf numFmtId="195" fontId="25" fillId="0" borderId="0" applyFont="0" applyFill="0" applyBorder="0" applyAlignment="0" applyProtection="0"/>
    <xf numFmtId="196" fontId="26" fillId="0" borderId="19">
      <protection hidden="1"/>
    </xf>
    <xf numFmtId="180" fontId="3" fillId="0" borderId="0" applyFont="0" applyFill="0" applyBorder="0" applyAlignment="0" applyProtection="0"/>
    <xf numFmtId="164" fontId="3" fillId="0" borderId="0" applyFont="0" applyFill="0" applyBorder="0" applyAlignment="0" applyProtection="0"/>
    <xf numFmtId="8" fontId="1" fillId="0" borderId="0" applyFont="0" applyFill="0" applyBorder="0" applyAlignment="0" applyProtection="0"/>
    <xf numFmtId="44" fontId="3" fillId="0" borderId="0" applyFont="0" applyFill="0" applyBorder="0" applyAlignment="0" applyProtection="0"/>
    <xf numFmtId="0" fontId="22" fillId="0" borderId="0" applyNumberFormat="0" applyFill="0" applyBorder="0" applyAlignment="0" applyProtection="0"/>
    <xf numFmtId="1" fontId="14" fillId="0" borderId="0"/>
    <xf numFmtId="14" fontId="27" fillId="0" borderId="0">
      <alignment horizontal="center"/>
    </xf>
    <xf numFmtId="14" fontId="18" fillId="0" borderId="0" applyFill="0" applyBorder="0" applyAlignment="0"/>
    <xf numFmtId="15" fontId="28" fillId="5" borderId="0" applyNumberFormat="0" applyFont="0" applyFill="0" applyBorder="0" applyAlignment="0">
      <alignment horizontal="center" wrapText="1"/>
    </xf>
    <xf numFmtId="0" fontId="18" fillId="0" borderId="16" applyNumberFormat="0" applyFill="0" applyBorder="0" applyAlignment="0" applyProtection="0"/>
    <xf numFmtId="197" fontId="20" fillId="0" borderId="0" applyFont="0" applyFill="0" applyBorder="0" applyAlignment="0" applyProtection="0"/>
    <xf numFmtId="198" fontId="25" fillId="0" borderId="0" applyFont="0" applyFill="0" applyBorder="0" applyAlignment="0" applyProtection="0"/>
    <xf numFmtId="178" fontId="29"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29"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196" fontId="26" fillId="0" borderId="19">
      <protection hidden="1"/>
    </xf>
    <xf numFmtId="199" fontId="3" fillId="0" borderId="0" applyFont="0" applyFill="0" applyBorder="0" applyAlignment="0" applyProtection="0"/>
    <xf numFmtId="38" fontId="30" fillId="5" borderId="0" applyNumberFormat="0" applyBorder="0" applyAlignment="0" applyProtection="0"/>
    <xf numFmtId="0" fontId="31" fillId="0" borderId="20" applyNumberFormat="0" applyAlignment="0" applyProtection="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31" fillId="0" borderId="9">
      <alignment horizontal="left" vertical="center"/>
    </xf>
    <xf numFmtId="0" fontId="31" fillId="0" borderId="9">
      <alignment horizontal="left" vertical="center"/>
    </xf>
    <xf numFmtId="0" fontId="31" fillId="0" borderId="9">
      <alignment horizontal="left" vertical="center"/>
    </xf>
    <xf numFmtId="0" fontId="1" fillId="0" borderId="0">
      <alignment horizontal="left" vertical="center"/>
    </xf>
    <xf numFmtId="14" fontId="32" fillId="6" borderId="19">
      <alignment horizontal="center" vertical="center" wrapText="1"/>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9" fillId="0" borderId="0" applyFill="0" applyAlignment="0" applyProtection="0">
      <protection locked="0"/>
    </xf>
    <xf numFmtId="0" fontId="19" fillId="0" borderId="7" applyFill="0" applyAlignment="0" applyProtection="0">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10" fontId="30" fillId="7" borderId="16" applyNumberFormat="0" applyBorder="0" applyAlignment="0" applyProtection="0"/>
    <xf numFmtId="178" fontId="36"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6"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200" fontId="3" fillId="0" borderId="0" applyFont="0" applyFill="0" applyBorder="0" applyAlignment="0" applyProtection="0"/>
    <xf numFmtId="201" fontId="3" fillId="0" borderId="0" applyFont="0" applyFill="0" applyBorder="0" applyAlignment="0" applyProtection="0"/>
    <xf numFmtId="38" fontId="37" fillId="0" borderId="0" applyFont="0" applyFill="0" applyBorder="0" applyAlignment="0" applyProtection="0"/>
    <xf numFmtId="40" fontId="37" fillId="0" borderId="0" applyFont="0" applyFill="0" applyBorder="0" applyAlignment="0" applyProtection="0"/>
    <xf numFmtId="202" fontId="3" fillId="0" borderId="0" applyFont="0" applyFill="0" applyBorder="0" applyAlignment="0" applyProtection="0"/>
    <xf numFmtId="203" fontId="3" fillId="0" borderId="0" applyFont="0" applyFill="0" applyBorder="0" applyAlignment="0" applyProtection="0"/>
    <xf numFmtId="6" fontId="37" fillId="0" borderId="0" applyFont="0" applyFill="0" applyBorder="0" applyAlignment="0" applyProtection="0"/>
    <xf numFmtId="8" fontId="37" fillId="0" borderId="0" applyFont="0" applyFill="0" applyBorder="0" applyAlignment="0" applyProtection="0"/>
    <xf numFmtId="204" fontId="14" fillId="0" borderId="7"/>
    <xf numFmtId="37" fontId="38" fillId="0" borderId="0"/>
    <xf numFmtId="205" fontId="20" fillId="0" borderId="0"/>
    <xf numFmtId="205" fontId="1" fillId="0" borderId="0"/>
    <xf numFmtId="206" fontId="3" fillId="0" borderId="0"/>
    <xf numFmtId="207" fontId="3" fillId="0" borderId="0"/>
    <xf numFmtId="0" fontId="39" fillId="0" borderId="0"/>
    <xf numFmtId="0" fontId="39" fillId="0" borderId="0"/>
    <xf numFmtId="0" fontId="39" fillId="0" borderId="0"/>
    <xf numFmtId="0" fontId="39" fillId="0" borderId="0"/>
    <xf numFmtId="0" fontId="3" fillId="0" borderId="0"/>
    <xf numFmtId="0" fontId="3" fillId="0" borderId="0"/>
    <xf numFmtId="0" fontId="1" fillId="0" borderId="0"/>
    <xf numFmtId="0" fontId="3" fillId="0" borderId="0"/>
    <xf numFmtId="0" fontId="3" fillId="0" borderId="0">
      <alignment wrapText="1"/>
    </xf>
    <xf numFmtId="0" fontId="3" fillId="0" borderId="0"/>
    <xf numFmtId="0" fontId="40" fillId="0" borderId="0"/>
    <xf numFmtId="0" fontId="3" fillId="0" borderId="0"/>
    <xf numFmtId="0" fontId="3" fillId="0" borderId="0"/>
    <xf numFmtId="37" fontId="41" fillId="0" borderId="0"/>
    <xf numFmtId="0" fontId="1" fillId="0" borderId="0"/>
    <xf numFmtId="0" fontId="1" fillId="0" borderId="0"/>
    <xf numFmtId="0" fontId="3" fillId="0" borderId="0">
      <alignment wrapText="1"/>
    </xf>
    <xf numFmtId="0" fontId="3" fillId="0" borderId="0"/>
    <xf numFmtId="37" fontId="41" fillId="0" borderId="0"/>
    <xf numFmtId="0" fontId="3" fillId="0" borderId="0"/>
    <xf numFmtId="37" fontId="41" fillId="0" borderId="0"/>
    <xf numFmtId="0" fontId="1" fillId="0" borderId="0"/>
    <xf numFmtId="0" fontId="21" fillId="0" borderId="0"/>
    <xf numFmtId="37" fontId="1" fillId="0" borderId="0"/>
    <xf numFmtId="0" fontId="1" fillId="0" borderId="0"/>
    <xf numFmtId="37" fontId="1" fillId="0" borderId="0"/>
    <xf numFmtId="0" fontId="3" fillId="0" borderId="0">
      <alignment wrapText="1"/>
    </xf>
    <xf numFmtId="37" fontId="42" fillId="0" borderId="0"/>
    <xf numFmtId="0" fontId="3" fillId="0" borderId="0"/>
    <xf numFmtId="37" fontId="3" fillId="0" borderId="0"/>
    <xf numFmtId="37" fontId="3" fillId="0" borderId="0"/>
    <xf numFmtId="208" fontId="3" fillId="0" borderId="0"/>
    <xf numFmtId="209" fontId="3" fillId="0" borderId="0"/>
    <xf numFmtId="39" fontId="3" fillId="0" borderId="0"/>
    <xf numFmtId="39" fontId="3" fillId="0" borderId="0"/>
    <xf numFmtId="210" fontId="3" fillId="0" borderId="0"/>
    <xf numFmtId="211" fontId="3" fillId="0" borderId="0"/>
    <xf numFmtId="212" fontId="3" fillId="0" borderId="0"/>
    <xf numFmtId="213" fontId="3" fillId="0" borderId="0"/>
    <xf numFmtId="214" fontId="3" fillId="0" borderId="0"/>
    <xf numFmtId="215" fontId="3" fillId="0" borderId="0"/>
    <xf numFmtId="216" fontId="3" fillId="0" borderId="0"/>
    <xf numFmtId="217" fontId="37" fillId="0" borderId="0"/>
    <xf numFmtId="218" fontId="26" fillId="0" borderId="0">
      <protection hidden="1"/>
    </xf>
    <xf numFmtId="185" fontId="3" fillId="0" borderId="0" applyFont="0" applyFill="0" applyBorder="0" applyAlignment="0" applyProtection="0"/>
    <xf numFmtId="186" fontId="3" fillId="0" borderId="0" applyFont="0" applyFill="0" applyBorder="0" applyAlignment="0" applyProtection="0"/>
    <xf numFmtId="206" fontId="3" fillId="0" borderId="0" applyFont="0" applyFill="0" applyBorder="0" applyAlignment="0" applyProtection="0"/>
    <xf numFmtId="207" fontId="3" fillId="0" borderId="0" applyFont="0" applyFill="0" applyBorder="0" applyAlignment="0" applyProtection="0"/>
    <xf numFmtId="10" fontId="3" fillId="0" borderId="0" applyFont="0" applyFill="0" applyBorder="0" applyAlignment="0" applyProtection="0"/>
    <xf numFmtId="9" fontId="43" fillId="0" borderId="0" applyFont="0" applyFill="0" applyBorder="0" applyAlignment="0" applyProtection="0"/>
    <xf numFmtId="9" fontId="2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43" fillId="0" borderId="0" applyFont="0" applyFill="0" applyBorder="0" applyAlignment="0" applyProtection="0"/>
    <xf numFmtId="9" fontId="37" fillId="0" borderId="21" applyNumberFormat="0" applyBorder="0"/>
    <xf numFmtId="204" fontId="14" fillId="0" borderId="0"/>
    <xf numFmtId="0" fontId="44" fillId="8" borderId="22" applyNumberFormat="0" applyFont="0" applyFill="0" applyAlignment="0">
      <alignment horizontal="center" vertical="center"/>
    </xf>
    <xf numFmtId="178" fontId="45"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45"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37" fontId="41" fillId="0" borderId="23"/>
    <xf numFmtId="0" fontId="46" fillId="0" borderId="0"/>
    <xf numFmtId="0" fontId="20" fillId="0" borderId="0"/>
    <xf numFmtId="0" fontId="37" fillId="0" borderId="0"/>
    <xf numFmtId="37" fontId="47" fillId="0" borderId="19">
      <alignment horizontal="right"/>
      <protection locked="0"/>
    </xf>
    <xf numFmtId="37" fontId="48" fillId="0" borderId="19">
      <alignment horizontal="right"/>
      <protection locked="0"/>
    </xf>
    <xf numFmtId="49" fontId="18" fillId="0" borderId="0" applyFill="0" applyBorder="0" applyAlignment="0"/>
    <xf numFmtId="219" fontId="3" fillId="0" borderId="0" applyFill="0" applyBorder="0" applyAlignment="0"/>
    <xf numFmtId="220" fontId="3" fillId="0" borderId="0" applyFill="0" applyBorder="0" applyAlignment="0"/>
    <xf numFmtId="221" fontId="3" fillId="0" borderId="0" applyFill="0" applyBorder="0" applyAlignment="0"/>
    <xf numFmtId="222" fontId="3" fillId="0" borderId="0" applyFill="0" applyBorder="0" applyAlignment="0"/>
    <xf numFmtId="49" fontId="3" fillId="0" borderId="0"/>
    <xf numFmtId="0" fontId="49" fillId="0" borderId="0" applyFill="0" applyBorder="0" applyProtection="0">
      <alignment horizontal="left" vertical="top"/>
    </xf>
    <xf numFmtId="40" fontId="5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37" fontId="41" fillId="0" borderId="7"/>
    <xf numFmtId="37" fontId="41" fillId="0" borderId="24"/>
    <xf numFmtId="223" fontId="3" fillId="0" borderId="0" applyFont="0" applyFill="0" applyBorder="0" applyAlignment="0" applyProtection="0"/>
    <xf numFmtId="224" fontId="3" fillId="0" borderId="0" applyFont="0" applyFill="0" applyBorder="0" applyAlignment="0" applyProtection="0"/>
    <xf numFmtId="0" fontId="3" fillId="0" borderId="0"/>
    <xf numFmtId="0" fontId="3" fillId="0" borderId="0"/>
    <xf numFmtId="0" fontId="51" fillId="0" borderId="0" applyNumberFormat="0" applyFill="0" applyBorder="0" applyAlignment="0" applyProtection="0"/>
  </cellStyleXfs>
  <cellXfs count="616">
    <xf numFmtId="0" fontId="0" fillId="0" borderId="0" xfId="0"/>
    <xf numFmtId="164" fontId="4" fillId="0" borderId="0" xfId="1" applyNumberFormat="1" applyFont="1" applyAlignment="1">
      <alignment horizontal="right"/>
    </xf>
    <xf numFmtId="0" fontId="4" fillId="0" borderId="0" xfId="0" applyFont="1"/>
    <xf numFmtId="0" fontId="0" fillId="0" borderId="3" xfId="0" applyBorder="1"/>
    <xf numFmtId="43" fontId="54" fillId="0" borderId="9" xfId="1" applyNumberFormat="1" applyFont="1" applyFill="1" applyBorder="1" applyAlignment="1">
      <alignment horizontal="right"/>
    </xf>
    <xf numFmtId="0" fontId="4" fillId="0" borderId="0" xfId="0" applyFont="1" applyAlignment="1">
      <alignment horizontal="right"/>
    </xf>
    <xf numFmtId="0" fontId="55" fillId="0" borderId="0" xfId="329" applyFont="1" applyAlignment="1">
      <alignment horizontal="right"/>
    </xf>
    <xf numFmtId="43" fontId="4" fillId="0" borderId="0" xfId="1" applyFont="1" applyAlignment="1">
      <alignment horizontal="right"/>
    </xf>
    <xf numFmtId="165" fontId="4" fillId="0" borderId="0" xfId="1" applyNumberFormat="1" applyFont="1" applyAlignment="1">
      <alignment horizontal="right"/>
    </xf>
    <xf numFmtId="43" fontId="4" fillId="0" borderId="0" xfId="1" applyFont="1" applyFill="1" applyAlignment="1">
      <alignment horizontal="left"/>
    </xf>
    <xf numFmtId="165" fontId="4" fillId="0" borderId="0" xfId="1" applyNumberFormat="1" applyFont="1" applyFill="1" applyAlignment="1">
      <alignment horizontal="right"/>
    </xf>
    <xf numFmtId="43" fontId="4" fillId="0" borderId="0" xfId="1" applyFont="1" applyFill="1" applyAlignment="1">
      <alignment horizontal="right"/>
    </xf>
    <xf numFmtId="20" fontId="4" fillId="0" borderId="0" xfId="1" applyNumberFormat="1" applyFont="1" applyFill="1" applyAlignment="1">
      <alignment horizontal="right"/>
    </xf>
    <xf numFmtId="9" fontId="4" fillId="0" borderId="0" xfId="2" applyNumberFormat="1" applyFont="1" applyAlignment="1">
      <alignment horizontal="right"/>
    </xf>
    <xf numFmtId="167" fontId="4" fillId="0" borderId="0" xfId="1" applyNumberFormat="1" applyFont="1" applyAlignment="1">
      <alignment horizontal="right"/>
    </xf>
    <xf numFmtId="43" fontId="4" fillId="0" borderId="0" xfId="1" applyFont="1" applyFill="1"/>
    <xf numFmtId="165" fontId="4" fillId="0" borderId="0" xfId="0" applyNumberFormat="1" applyFont="1" applyFill="1"/>
    <xf numFmtId="167" fontId="4" fillId="0" borderId="0" xfId="1" applyNumberFormat="1" applyFont="1" applyFill="1"/>
    <xf numFmtId="165" fontId="4" fillId="0" borderId="0" xfId="1" applyNumberFormat="1" applyFont="1" applyFill="1" applyBorder="1" applyAlignment="1">
      <alignment horizontal="right"/>
    </xf>
    <xf numFmtId="165" fontId="4" fillId="0" borderId="5" xfId="1" applyNumberFormat="1" applyFont="1" applyFill="1" applyBorder="1" applyAlignment="1">
      <alignment horizontal="right"/>
    </xf>
    <xf numFmtId="165" fontId="4" fillId="0" borderId="5" xfId="1" applyNumberFormat="1" applyFont="1" applyBorder="1" applyAlignment="1">
      <alignment horizontal="right"/>
    </xf>
    <xf numFmtId="9" fontId="4" fillId="0" borderId="7" xfId="2" applyFont="1" applyFill="1" applyBorder="1" applyAlignment="1">
      <alignment horizontal="right"/>
    </xf>
    <xf numFmtId="0" fontId="54" fillId="0" borderId="0" xfId="0" applyFont="1" applyFill="1" applyBorder="1" applyAlignment="1">
      <alignment horizontal="left"/>
    </xf>
    <xf numFmtId="164" fontId="56" fillId="0" borderId="0" xfId="1" quotePrefix="1" applyNumberFormat="1" applyFont="1" applyFill="1" applyBorder="1" applyAlignment="1">
      <alignment horizontal="right"/>
    </xf>
    <xf numFmtId="164" fontId="56" fillId="0" borderId="0" xfId="1" quotePrefix="1" applyNumberFormat="1" applyFont="1" applyBorder="1" applyAlignment="1">
      <alignment horizontal="right"/>
    </xf>
    <xf numFmtId="164" fontId="56" fillId="0" borderId="5" xfId="1" quotePrefix="1" applyNumberFormat="1" applyFont="1" applyFill="1" applyBorder="1" applyAlignment="1">
      <alignment horizontal="right"/>
    </xf>
    <xf numFmtId="165" fontId="4" fillId="0" borderId="0" xfId="1" quotePrefix="1" applyNumberFormat="1" applyFont="1" applyFill="1" applyBorder="1" applyAlignment="1">
      <alignment horizontal="right"/>
    </xf>
    <xf numFmtId="165" fontId="4" fillId="0" borderId="5" xfId="1" quotePrefix="1" applyNumberFormat="1" applyFont="1" applyBorder="1" applyAlignment="1">
      <alignment horizontal="right"/>
    </xf>
    <xf numFmtId="165" fontId="4" fillId="0" borderId="31" xfId="1" quotePrefix="1" applyNumberFormat="1" applyFont="1" applyBorder="1" applyAlignment="1">
      <alignment horizontal="right"/>
    </xf>
    <xf numFmtId="0" fontId="4" fillId="0" borderId="0" xfId="0" applyFont="1" applyAlignment="1">
      <alignment horizontal="left"/>
    </xf>
    <xf numFmtId="0" fontId="4" fillId="0" borderId="0" xfId="0" applyFont="1" applyFill="1"/>
    <xf numFmtId="165" fontId="4" fillId="0" borderId="5" xfId="1" quotePrefix="1" applyNumberFormat="1" applyFont="1" applyFill="1" applyBorder="1" applyAlignment="1">
      <alignment horizontal="right"/>
    </xf>
    <xf numFmtId="0" fontId="54" fillId="0" borderId="0" xfId="0" applyFont="1"/>
    <xf numFmtId="165" fontId="4" fillId="0" borderId="31" xfId="1" quotePrefix="1" applyNumberFormat="1" applyFont="1" applyFill="1" applyBorder="1" applyAlignment="1">
      <alignment horizontal="right"/>
    </xf>
    <xf numFmtId="9" fontId="4" fillId="0" borderId="5" xfId="2" quotePrefix="1" applyFont="1" applyBorder="1" applyAlignment="1">
      <alignment horizontal="right"/>
    </xf>
    <xf numFmtId="9" fontId="4" fillId="0" borderId="0" xfId="2" quotePrefix="1" applyFont="1" applyFill="1" applyBorder="1" applyAlignment="1">
      <alignment horizontal="right"/>
    </xf>
    <xf numFmtId="0" fontId="4" fillId="0" borderId="0" xfId="0" applyFont="1" applyBorder="1"/>
    <xf numFmtId="9" fontId="4" fillId="0" borderId="0" xfId="2" applyFont="1" applyBorder="1" applyAlignment="1">
      <alignment horizontal="right"/>
    </xf>
    <xf numFmtId="9" fontId="4" fillId="0" borderId="5" xfId="2" applyFont="1" applyBorder="1" applyAlignment="1">
      <alignment horizontal="right"/>
    </xf>
    <xf numFmtId="9" fontId="4" fillId="0" borderId="0" xfId="2" applyFont="1" applyFill="1" applyBorder="1" applyAlignment="1">
      <alignment horizontal="right"/>
    </xf>
    <xf numFmtId="9" fontId="4" fillId="0" borderId="8" xfId="2" applyFont="1" applyFill="1" applyBorder="1" applyAlignment="1">
      <alignment horizontal="right"/>
    </xf>
    <xf numFmtId="164" fontId="4" fillId="0" borderId="0" xfId="1" applyNumberFormat="1" applyFont="1" applyFill="1" applyAlignment="1">
      <alignment horizontal="right"/>
    </xf>
    <xf numFmtId="164" fontId="54" fillId="0" borderId="0" xfId="1" quotePrefix="1" applyNumberFormat="1" applyFont="1" applyFill="1" applyBorder="1" applyAlignment="1">
      <alignment horizontal="right"/>
    </xf>
    <xf numFmtId="164" fontId="4" fillId="0" borderId="0" xfId="1" applyNumberFormat="1" applyFont="1" applyBorder="1" applyAlignment="1">
      <alignment horizontal="right"/>
    </xf>
    <xf numFmtId="0" fontId="4" fillId="0" borderId="0" xfId="0" applyFont="1" applyBorder="1" applyAlignment="1">
      <alignment horizontal="right"/>
    </xf>
    <xf numFmtId="43" fontId="54" fillId="0" borderId="0" xfId="1" quotePrefix="1" applyNumberFormat="1" applyFont="1" applyBorder="1" applyAlignment="1">
      <alignment horizontal="right"/>
    </xf>
    <xf numFmtId="43" fontId="54" fillId="0" borderId="0" xfId="1" quotePrefix="1" applyNumberFormat="1" applyFont="1" applyFill="1" applyBorder="1" applyAlignment="1">
      <alignment horizontal="right"/>
    </xf>
    <xf numFmtId="167" fontId="4" fillId="0" borderId="0" xfId="1" applyNumberFormat="1" applyFont="1" applyBorder="1" applyAlignment="1">
      <alignment horizontal="right"/>
    </xf>
    <xf numFmtId="43" fontId="4" fillId="0" borderId="0" xfId="1" applyFont="1"/>
    <xf numFmtId="165" fontId="4" fillId="0" borderId="0" xfId="1" applyNumberFormat="1" applyFont="1" applyBorder="1" applyAlignment="1">
      <alignment horizontal="right"/>
    </xf>
    <xf numFmtId="165" fontId="4" fillId="0" borderId="33" xfId="1" applyNumberFormat="1" applyFont="1" applyBorder="1" applyAlignment="1">
      <alignment horizontal="right"/>
    </xf>
    <xf numFmtId="165" fontId="4" fillId="0" borderId="34" xfId="1" applyNumberFormat="1" applyFont="1" applyBorder="1" applyAlignment="1">
      <alignment horizontal="right"/>
    </xf>
    <xf numFmtId="164" fontId="56" fillId="0" borderId="5" xfId="1" quotePrefix="1" applyNumberFormat="1" applyFont="1" applyBorder="1" applyAlignment="1">
      <alignment horizontal="right"/>
    </xf>
    <xf numFmtId="166" fontId="4" fillId="0" borderId="5" xfId="2" quotePrefix="1" applyNumberFormat="1" applyFont="1" applyBorder="1" applyAlignment="1">
      <alignment horizontal="right"/>
    </xf>
    <xf numFmtId="0" fontId="57" fillId="0" borderId="4" xfId="0" applyFont="1" applyFill="1" applyBorder="1" applyAlignment="1">
      <alignment horizontal="left"/>
    </xf>
    <xf numFmtId="164" fontId="4" fillId="0" borderId="5" xfId="1" quotePrefix="1" applyNumberFormat="1" applyFont="1" applyFill="1" applyBorder="1" applyAlignment="1">
      <alignment horizontal="right"/>
    </xf>
    <xf numFmtId="9" fontId="4" fillId="0" borderId="0" xfId="2" applyFont="1" applyAlignment="1">
      <alignment horizontal="right"/>
    </xf>
    <xf numFmtId="164" fontId="4" fillId="0" borderId="0" xfId="1" applyNumberFormat="1" applyFont="1" applyFill="1" applyAlignment="1">
      <alignment horizontal="left"/>
    </xf>
    <xf numFmtId="165" fontId="4" fillId="0" borderId="2" xfId="1" applyNumberFormat="1" applyFont="1" applyBorder="1" applyAlignment="1">
      <alignment horizontal="right"/>
    </xf>
    <xf numFmtId="165" fontId="4" fillId="0" borderId="2" xfId="1" applyNumberFormat="1" applyFont="1" applyFill="1" applyBorder="1" applyAlignment="1">
      <alignment horizontal="right"/>
    </xf>
    <xf numFmtId="0" fontId="4" fillId="0" borderId="0" xfId="0" applyFont="1" applyBorder="1" applyAlignment="1">
      <alignment horizontal="left"/>
    </xf>
    <xf numFmtId="9" fontId="4" fillId="0" borderId="5" xfId="2" quotePrefix="1" applyFont="1" applyFill="1" applyBorder="1" applyAlignment="1">
      <alignment horizontal="right"/>
    </xf>
    <xf numFmtId="164" fontId="56" fillId="0" borderId="2" xfId="1" quotePrefix="1" applyNumberFormat="1" applyFont="1" applyFill="1" applyBorder="1" applyAlignment="1">
      <alignment horizontal="right"/>
    </xf>
    <xf numFmtId="9" fontId="54" fillId="0" borderId="2" xfId="2" quotePrefix="1" applyFont="1" applyFill="1" applyBorder="1" applyAlignment="1">
      <alignment horizontal="right"/>
    </xf>
    <xf numFmtId="164" fontId="4" fillId="0" borderId="4" xfId="1" applyNumberFormat="1" applyFont="1" applyBorder="1" applyAlignment="1">
      <alignment horizontal="right"/>
    </xf>
    <xf numFmtId="0" fontId="4" fillId="0" borderId="0" xfId="0" applyFont="1" applyBorder="1" applyAlignment="1">
      <alignment vertical="top" wrapText="1"/>
    </xf>
    <xf numFmtId="164" fontId="53" fillId="3" borderId="0" xfId="1" quotePrefix="1" applyNumberFormat="1" applyFont="1" applyFill="1" applyBorder="1" applyAlignment="1">
      <alignment horizontal="right"/>
    </xf>
    <xf numFmtId="164" fontId="58" fillId="2" borderId="2" xfId="1" quotePrefix="1" applyNumberFormat="1" applyFont="1" applyFill="1" applyBorder="1" applyAlignment="1">
      <alignment horizontal="right"/>
    </xf>
    <xf numFmtId="164" fontId="59" fillId="2" borderId="0" xfId="1" quotePrefix="1" applyNumberFormat="1" applyFont="1" applyFill="1" applyBorder="1" applyAlignment="1">
      <alignment horizontal="right"/>
    </xf>
    <xf numFmtId="164" fontId="2" fillId="3" borderId="2" xfId="1" quotePrefix="1" applyNumberFormat="1" applyFont="1" applyFill="1" applyBorder="1" applyAlignment="1">
      <alignment horizontal="right"/>
    </xf>
    <xf numFmtId="165" fontId="62" fillId="0" borderId="0" xfId="1" applyNumberFormat="1" applyFont="1" applyBorder="1" applyAlignment="1">
      <alignment horizontal="right"/>
    </xf>
    <xf numFmtId="165" fontId="62" fillId="0" borderId="5" xfId="1" applyNumberFormat="1" applyFont="1" applyBorder="1" applyAlignment="1">
      <alignment horizontal="right"/>
    </xf>
    <xf numFmtId="0" fontId="63" fillId="0" borderId="3" xfId="0" applyFont="1" applyBorder="1" applyAlignment="1">
      <alignment horizontal="left"/>
    </xf>
    <xf numFmtId="0" fontId="4" fillId="0" borderId="4" xfId="0" applyFont="1" applyBorder="1" applyAlignment="1"/>
    <xf numFmtId="0" fontId="54" fillId="0" borderId="4" xfId="0" applyFont="1" applyBorder="1" applyAlignment="1"/>
    <xf numFmtId="165" fontId="65" fillId="0" borderId="0" xfId="1" applyNumberFormat="1" applyFont="1" applyBorder="1" applyAlignment="1">
      <alignment horizontal="right"/>
    </xf>
    <xf numFmtId="165" fontId="65" fillId="0" borderId="5" xfId="1" applyNumberFormat="1" applyFont="1" applyBorder="1" applyAlignment="1">
      <alignment horizontal="right"/>
    </xf>
    <xf numFmtId="165" fontId="62" fillId="0" borderId="0" xfId="1" applyNumberFormat="1" applyFont="1" applyFill="1" applyBorder="1" applyAlignment="1">
      <alignment horizontal="right"/>
    </xf>
    <xf numFmtId="165" fontId="65" fillId="0" borderId="0" xfId="1" applyNumberFormat="1" applyFont="1" applyFill="1" applyBorder="1" applyAlignment="1">
      <alignment horizontal="right"/>
    </xf>
    <xf numFmtId="0" fontId="64" fillId="0" borderId="4" xfId="0" applyFont="1" applyBorder="1" applyAlignment="1"/>
    <xf numFmtId="165" fontId="53" fillId="0" borderId="5" xfId="1" applyNumberFormat="1" applyFont="1" applyBorder="1" applyAlignment="1">
      <alignment horizontal="right"/>
    </xf>
    <xf numFmtId="165" fontId="53" fillId="0" borderId="0" xfId="1" applyNumberFormat="1" applyFont="1" applyFill="1" applyBorder="1" applyAlignment="1">
      <alignment horizontal="right"/>
    </xf>
    <xf numFmtId="165" fontId="53" fillId="0" borderId="5" xfId="1" applyNumberFormat="1" applyFont="1" applyFill="1" applyBorder="1" applyAlignment="1">
      <alignment horizontal="right"/>
    </xf>
    <xf numFmtId="0" fontId="64" fillId="0" borderId="0" xfId="0" applyFont="1"/>
    <xf numFmtId="165" fontId="64" fillId="0" borderId="0" xfId="1" applyNumberFormat="1" applyFont="1" applyBorder="1" applyAlignment="1">
      <alignment horizontal="right"/>
    </xf>
    <xf numFmtId="165" fontId="64" fillId="0" borderId="5" xfId="1" applyNumberFormat="1" applyFont="1" applyBorder="1" applyAlignment="1">
      <alignment horizontal="right"/>
    </xf>
    <xf numFmtId="165" fontId="64" fillId="0" borderId="0" xfId="1" applyNumberFormat="1" applyFont="1" applyFill="1" applyBorder="1" applyAlignment="1">
      <alignment horizontal="right"/>
    </xf>
    <xf numFmtId="165" fontId="64" fillId="0" borderId="5" xfId="1" applyNumberFormat="1" applyFont="1" applyFill="1" applyBorder="1" applyAlignment="1">
      <alignment horizontal="right"/>
    </xf>
    <xf numFmtId="0" fontId="62" fillId="0" borderId="0" xfId="0" applyFont="1"/>
    <xf numFmtId="165" fontId="62" fillId="0" borderId="5" xfId="1" applyNumberFormat="1" applyFont="1" applyFill="1" applyBorder="1" applyAlignment="1">
      <alignment horizontal="right"/>
    </xf>
    <xf numFmtId="43" fontId="64" fillId="0" borderId="0" xfId="1" applyNumberFormat="1" applyFont="1" applyFill="1" applyBorder="1" applyAlignment="1">
      <alignment horizontal="right"/>
    </xf>
    <xf numFmtId="43" fontId="64" fillId="0" borderId="5" xfId="1" applyNumberFormat="1" applyFont="1" applyFill="1" applyBorder="1" applyAlignment="1">
      <alignment horizontal="right"/>
    </xf>
    <xf numFmtId="43" fontId="62" fillId="0" borderId="0" xfId="1" applyNumberFormat="1" applyFont="1" applyFill="1" applyBorder="1" applyAlignment="1">
      <alignment horizontal="right"/>
    </xf>
    <xf numFmtId="43" fontId="62" fillId="0" borderId="5" xfId="1" applyNumberFormat="1" applyFont="1" applyFill="1" applyBorder="1" applyAlignment="1">
      <alignment horizontal="right"/>
    </xf>
    <xf numFmtId="9" fontId="62" fillId="0" borderId="7" xfId="2" applyFont="1" applyFill="1" applyBorder="1" applyAlignment="1">
      <alignment horizontal="right"/>
    </xf>
    <xf numFmtId="0" fontId="62" fillId="0" borderId="0" xfId="0" applyFont="1" applyFill="1" applyBorder="1" applyAlignment="1">
      <alignment horizontal="left"/>
    </xf>
    <xf numFmtId="0" fontId="64" fillId="0" borderId="14" xfId="0" applyFont="1" applyBorder="1" applyAlignment="1">
      <alignment horizontal="left"/>
    </xf>
    <xf numFmtId="0" fontId="64" fillId="0" borderId="15" xfId="0" applyFont="1" applyBorder="1" applyAlignment="1">
      <alignment horizontal="left"/>
    </xf>
    <xf numFmtId="165" fontId="54" fillId="0" borderId="31" xfId="1" quotePrefix="1" applyNumberFormat="1" applyFont="1" applyBorder="1" applyAlignment="1">
      <alignment horizontal="right"/>
    </xf>
    <xf numFmtId="165" fontId="54" fillId="0" borderId="31" xfId="1" quotePrefix="1" applyNumberFormat="1" applyFont="1" applyFill="1" applyBorder="1" applyAlignment="1">
      <alignment horizontal="right"/>
    </xf>
    <xf numFmtId="0" fontId="62" fillId="0" borderId="3" xfId="0" applyFont="1" applyBorder="1" applyAlignment="1">
      <alignment horizontal="left" indent="1"/>
    </xf>
    <xf numFmtId="41" fontId="62" fillId="0" borderId="0" xfId="1" quotePrefix="1" applyNumberFormat="1" applyFont="1" applyBorder="1" applyAlignment="1">
      <alignment horizontal="right"/>
    </xf>
    <xf numFmtId="41" fontId="64" fillId="0" borderId="0" xfId="1" quotePrefix="1" applyNumberFormat="1" applyFont="1" applyFill="1" applyBorder="1" applyAlignment="1">
      <alignment horizontal="right"/>
    </xf>
    <xf numFmtId="164" fontId="56" fillId="12" borderId="0" xfId="1" quotePrefix="1" applyNumberFormat="1" applyFont="1" applyFill="1" applyBorder="1" applyAlignment="1">
      <alignment horizontal="right"/>
    </xf>
    <xf numFmtId="0" fontId="62" fillId="12" borderId="3" xfId="0" applyFont="1" applyFill="1" applyBorder="1" applyAlignment="1">
      <alignment horizontal="left" indent="1"/>
    </xf>
    <xf numFmtId="0" fontId="62" fillId="12" borderId="4" xfId="0" applyFont="1" applyFill="1" applyBorder="1" applyAlignment="1">
      <alignment horizontal="left"/>
    </xf>
    <xf numFmtId="41" fontId="62" fillId="12" borderId="0" xfId="1" quotePrefix="1" applyNumberFormat="1" applyFont="1" applyFill="1" applyBorder="1" applyAlignment="1">
      <alignment horizontal="right"/>
    </xf>
    <xf numFmtId="7" fontId="62" fillId="12" borderId="0" xfId="1" quotePrefix="1" applyNumberFormat="1" applyFont="1" applyFill="1" applyBorder="1" applyAlignment="1">
      <alignment horizontal="right"/>
    </xf>
    <xf numFmtId="0" fontId="64" fillId="12" borderId="15" xfId="0" applyFont="1" applyFill="1" applyBorder="1" applyAlignment="1">
      <alignment horizontal="left"/>
    </xf>
    <xf numFmtId="0" fontId="64" fillId="12" borderId="14" xfId="0" applyFont="1" applyFill="1" applyBorder="1" applyAlignment="1">
      <alignment horizontal="left"/>
    </xf>
    <xf numFmtId="164" fontId="56" fillId="0" borderId="37" xfId="1" quotePrefix="1" applyNumberFormat="1" applyFont="1" applyBorder="1" applyAlignment="1">
      <alignment horizontal="right"/>
    </xf>
    <xf numFmtId="0" fontId="64" fillId="12" borderId="4" xfId="0" applyFont="1" applyFill="1" applyBorder="1" applyAlignment="1">
      <alignment horizontal="left"/>
    </xf>
    <xf numFmtId="0" fontId="64" fillId="12" borderId="3" xfId="0" applyFont="1" applyFill="1" applyBorder="1" applyAlignment="1">
      <alignment horizontal="left"/>
    </xf>
    <xf numFmtId="165" fontId="4" fillId="12" borderId="5" xfId="1" quotePrefix="1" applyNumberFormat="1" applyFont="1" applyFill="1" applyBorder="1" applyAlignment="1">
      <alignment horizontal="right"/>
    </xf>
    <xf numFmtId="165" fontId="4" fillId="12" borderId="31" xfId="1" quotePrefix="1" applyNumberFormat="1" applyFont="1" applyFill="1" applyBorder="1" applyAlignment="1">
      <alignment horizontal="right"/>
    </xf>
    <xf numFmtId="165" fontId="4" fillId="12" borderId="38" xfId="1" quotePrefix="1" applyNumberFormat="1" applyFont="1" applyFill="1" applyBorder="1" applyAlignment="1">
      <alignment horizontal="right"/>
    </xf>
    <xf numFmtId="165" fontId="62" fillId="0" borderId="0" xfId="1" quotePrefix="1" applyNumberFormat="1" applyFont="1" applyFill="1" applyBorder="1" applyAlignment="1">
      <alignment horizontal="right"/>
    </xf>
    <xf numFmtId="165" fontId="62" fillId="10" borderId="0" xfId="1" quotePrefix="1" applyNumberFormat="1" applyFont="1" applyFill="1" applyBorder="1" applyAlignment="1">
      <alignment horizontal="right"/>
    </xf>
    <xf numFmtId="0" fontId="62" fillId="0" borderId="3" xfId="0" applyFont="1" applyBorder="1" applyAlignment="1">
      <alignment horizontal="left" indent="3"/>
    </xf>
    <xf numFmtId="9" fontId="62" fillId="10" borderId="0" xfId="2" quotePrefix="1" applyFont="1" applyFill="1" applyBorder="1" applyAlignment="1">
      <alignment horizontal="right"/>
    </xf>
    <xf numFmtId="7" fontId="62" fillId="0" borderId="0" xfId="1" quotePrefix="1" applyNumberFormat="1" applyFont="1" applyFill="1" applyBorder="1" applyAlignment="1">
      <alignment horizontal="right"/>
    </xf>
    <xf numFmtId="41" fontId="64" fillId="0" borderId="32" xfId="1" quotePrefix="1" applyNumberFormat="1" applyFont="1" applyFill="1" applyBorder="1" applyAlignment="1">
      <alignment horizontal="right"/>
    </xf>
    <xf numFmtId="0" fontId="62" fillId="12" borderId="3" xfId="0" applyFont="1" applyFill="1" applyBorder="1" applyAlignment="1">
      <alignment horizontal="left" indent="3"/>
    </xf>
    <xf numFmtId="166" fontId="62" fillId="12" borderId="0" xfId="2" quotePrefix="1" applyNumberFormat="1" applyFont="1" applyFill="1" applyBorder="1" applyAlignment="1">
      <alignment horizontal="right"/>
    </xf>
    <xf numFmtId="9" fontId="4" fillId="12" borderId="5" xfId="2" quotePrefix="1" applyFont="1" applyFill="1" applyBorder="1" applyAlignment="1">
      <alignment horizontal="right"/>
    </xf>
    <xf numFmtId="41" fontId="64" fillId="12" borderId="32" xfId="1" quotePrefix="1" applyNumberFormat="1" applyFont="1" applyFill="1" applyBorder="1" applyAlignment="1">
      <alignment horizontal="right"/>
    </xf>
    <xf numFmtId="41" fontId="64" fillId="12" borderId="0" xfId="1" quotePrefix="1" applyNumberFormat="1" applyFont="1" applyFill="1" applyBorder="1" applyAlignment="1">
      <alignment horizontal="right"/>
    </xf>
    <xf numFmtId="0" fontId="67" fillId="0" borderId="4" xfId="0" applyFont="1" applyBorder="1" applyAlignment="1">
      <alignment horizontal="left"/>
    </xf>
    <xf numFmtId="0" fontId="62" fillId="0" borderId="3" xfId="3" applyFont="1" applyBorder="1" applyAlignment="1">
      <alignment horizontal="left" vertical="top"/>
    </xf>
    <xf numFmtId="0" fontId="62" fillId="0" borderId="4" xfId="3" applyFont="1" applyBorder="1" applyAlignment="1">
      <alignment horizontal="left" vertical="top"/>
    </xf>
    <xf numFmtId="165" fontId="65" fillId="0" borderId="5" xfId="1" applyNumberFormat="1" applyFont="1" applyFill="1" applyBorder="1" applyAlignment="1">
      <alignment horizontal="right"/>
    </xf>
    <xf numFmtId="165" fontId="64" fillId="0" borderId="7" xfId="1" applyNumberFormat="1" applyFont="1" applyBorder="1" applyAlignment="1">
      <alignment horizontal="right"/>
    </xf>
    <xf numFmtId="165" fontId="64" fillId="0" borderId="8" xfId="1" applyNumberFormat="1" applyFont="1" applyBorder="1" applyAlignment="1">
      <alignment horizontal="right"/>
    </xf>
    <xf numFmtId="165" fontId="64" fillId="0" borderId="7" xfId="1" applyNumberFormat="1" applyFont="1" applyFill="1" applyBorder="1" applyAlignment="1">
      <alignment horizontal="right"/>
    </xf>
    <xf numFmtId="165" fontId="69" fillId="0" borderId="0" xfId="1" quotePrefix="1" applyNumberFormat="1" applyFont="1" applyFill="1" applyBorder="1" applyAlignment="1">
      <alignment horizontal="right"/>
    </xf>
    <xf numFmtId="165" fontId="4" fillId="12" borderId="0" xfId="1" quotePrefix="1" applyNumberFormat="1" applyFont="1" applyFill="1" applyBorder="1" applyAlignment="1">
      <alignment horizontal="right"/>
    </xf>
    <xf numFmtId="0" fontId="62" fillId="12" borderId="3" xfId="0" applyFont="1" applyFill="1" applyBorder="1" applyAlignment="1">
      <alignment horizontal="left" indent="2"/>
    </xf>
    <xf numFmtId="0" fontId="64" fillId="12" borderId="14" xfId="0" applyFont="1" applyFill="1" applyBorder="1" applyAlignment="1">
      <alignment horizontal="left" indent="2"/>
    </xf>
    <xf numFmtId="0" fontId="62" fillId="12" borderId="27" xfId="0" applyFont="1" applyFill="1" applyBorder="1" applyAlignment="1">
      <alignment horizontal="left" indent="2"/>
    </xf>
    <xf numFmtId="0" fontId="62" fillId="12" borderId="28" xfId="0" applyFont="1" applyFill="1" applyBorder="1" applyAlignment="1">
      <alignment horizontal="left"/>
    </xf>
    <xf numFmtId="41" fontId="62" fillId="12" borderId="33" xfId="1" quotePrefix="1" applyNumberFormat="1" applyFont="1" applyFill="1" applyBorder="1" applyAlignment="1">
      <alignment horizontal="right"/>
    </xf>
    <xf numFmtId="0" fontId="64" fillId="12" borderId="3" xfId="0" applyFont="1" applyFill="1" applyBorder="1" applyAlignment="1">
      <alignment horizontal="left" indent="2"/>
    </xf>
    <xf numFmtId="165" fontId="4" fillId="12" borderId="34" xfId="1" quotePrefix="1" applyNumberFormat="1" applyFont="1" applyFill="1" applyBorder="1" applyAlignment="1">
      <alignment horizontal="right"/>
    </xf>
    <xf numFmtId="166" fontId="62" fillId="0" borderId="0" xfId="2" quotePrefix="1" applyNumberFormat="1" applyFont="1" applyFill="1" applyBorder="1" applyAlignment="1">
      <alignment horizontal="right"/>
    </xf>
    <xf numFmtId="0" fontId="64" fillId="0" borderId="15" xfId="0" applyFont="1" applyFill="1" applyBorder="1" applyAlignment="1">
      <alignment horizontal="left"/>
    </xf>
    <xf numFmtId="165" fontId="62" fillId="12" borderId="0" xfId="1" quotePrefix="1" applyNumberFormat="1" applyFont="1" applyFill="1" applyBorder="1" applyAlignment="1">
      <alignment horizontal="right"/>
    </xf>
    <xf numFmtId="165" fontId="64" fillId="12" borderId="0" xfId="1" quotePrefix="1" applyNumberFormat="1" applyFont="1" applyFill="1" applyBorder="1" applyAlignment="1">
      <alignment horizontal="right"/>
    </xf>
    <xf numFmtId="165" fontId="62" fillId="0" borderId="5" xfId="1" quotePrefix="1" applyNumberFormat="1" applyFont="1" applyFill="1" applyBorder="1" applyAlignment="1">
      <alignment horizontal="right"/>
    </xf>
    <xf numFmtId="0" fontId="67" fillId="12" borderId="4" xfId="0" applyFont="1" applyFill="1" applyBorder="1" applyAlignment="1">
      <alignment horizontal="left"/>
    </xf>
    <xf numFmtId="0" fontId="64" fillId="12" borderId="3" xfId="0" applyFont="1" applyFill="1" applyBorder="1" applyAlignment="1">
      <alignment horizontal="left" indent="1"/>
    </xf>
    <xf numFmtId="165" fontId="54" fillId="12" borderId="5" xfId="1" quotePrefix="1" applyNumberFormat="1" applyFont="1" applyFill="1" applyBorder="1" applyAlignment="1">
      <alignment horizontal="right"/>
    </xf>
    <xf numFmtId="165" fontId="64" fillId="12" borderId="31" xfId="1" quotePrefix="1" applyNumberFormat="1" applyFont="1" applyFill="1" applyBorder="1" applyAlignment="1">
      <alignment horizontal="right"/>
    </xf>
    <xf numFmtId="0" fontId="67" fillId="0" borderId="4" xfId="0" applyFont="1" applyFill="1" applyBorder="1" applyAlignment="1">
      <alignment horizontal="left"/>
    </xf>
    <xf numFmtId="165" fontId="62" fillId="0" borderId="31" xfId="1" quotePrefix="1" applyNumberFormat="1" applyFont="1" applyFill="1" applyBorder="1" applyAlignment="1">
      <alignment horizontal="right"/>
    </xf>
    <xf numFmtId="166" fontId="62" fillId="10" borderId="0" xfId="2" quotePrefix="1" applyNumberFormat="1" applyFont="1" applyFill="1" applyBorder="1" applyAlignment="1">
      <alignment horizontal="right"/>
    </xf>
    <xf numFmtId="0" fontId="62" fillId="12" borderId="3" xfId="0" applyFont="1" applyFill="1" applyBorder="1" applyAlignment="1">
      <alignment horizontal="left"/>
    </xf>
    <xf numFmtId="166" fontId="4" fillId="12" borderId="5" xfId="2" quotePrefix="1" applyNumberFormat="1" applyFont="1" applyFill="1" applyBorder="1" applyAlignment="1">
      <alignment horizontal="right"/>
    </xf>
    <xf numFmtId="0" fontId="66" fillId="12" borderId="27" xfId="0" applyFont="1" applyFill="1" applyBorder="1" applyAlignment="1">
      <alignment horizontal="left"/>
    </xf>
    <xf numFmtId="0" fontId="64" fillId="12" borderId="39" xfId="0" applyFont="1" applyFill="1" applyBorder="1" applyAlignment="1">
      <alignment horizontal="left"/>
    </xf>
    <xf numFmtId="0" fontId="64" fillId="12" borderId="40" xfId="0" applyFont="1" applyFill="1" applyBorder="1" applyAlignment="1">
      <alignment horizontal="left"/>
    </xf>
    <xf numFmtId="166" fontId="64" fillId="12" borderId="41" xfId="2" quotePrefix="1" applyNumberFormat="1" applyFont="1" applyFill="1" applyBorder="1" applyAlignment="1">
      <alignment horizontal="right"/>
    </xf>
    <xf numFmtId="227" fontId="68" fillId="10" borderId="0" xfId="1" quotePrefix="1" applyNumberFormat="1" applyFont="1" applyFill="1" applyBorder="1" applyAlignment="1">
      <alignment horizontal="right"/>
    </xf>
    <xf numFmtId="165" fontId="64" fillId="10" borderId="0" xfId="1" quotePrefix="1" applyNumberFormat="1" applyFont="1" applyFill="1" applyBorder="1" applyAlignment="1">
      <alignment horizontal="right"/>
    </xf>
    <xf numFmtId="9" fontId="62" fillId="12" borderId="33" xfId="2" quotePrefix="1" applyFont="1" applyFill="1" applyBorder="1" applyAlignment="1">
      <alignment horizontal="right"/>
    </xf>
    <xf numFmtId="9" fontId="62" fillId="0" borderId="0" xfId="2" quotePrefix="1" applyFont="1" applyFill="1" applyBorder="1" applyAlignment="1">
      <alignment horizontal="right"/>
    </xf>
    <xf numFmtId="165" fontId="69" fillId="0" borderId="5" xfId="1" quotePrefix="1" applyNumberFormat="1" applyFont="1" applyFill="1" applyBorder="1" applyAlignment="1">
      <alignment horizontal="right"/>
    </xf>
    <xf numFmtId="165" fontId="69" fillId="0" borderId="0" xfId="2" applyNumberFormat="1" applyFont="1" applyFill="1" applyBorder="1" applyAlignment="1">
      <alignment horizontal="right"/>
    </xf>
    <xf numFmtId="165" fontId="64" fillId="0" borderId="0" xfId="1" quotePrefix="1" applyNumberFormat="1" applyFont="1" applyFill="1" applyBorder="1" applyAlignment="1">
      <alignment horizontal="right"/>
    </xf>
    <xf numFmtId="165" fontId="64" fillId="12" borderId="5" xfId="1" quotePrefix="1" applyNumberFormat="1" applyFont="1" applyFill="1" applyBorder="1" applyAlignment="1">
      <alignment horizontal="right"/>
    </xf>
    <xf numFmtId="165" fontId="62" fillId="0" borderId="0" xfId="2" quotePrefix="1" applyNumberFormat="1" applyFont="1" applyFill="1" applyBorder="1" applyAlignment="1">
      <alignment horizontal="right"/>
    </xf>
    <xf numFmtId="166" fontId="64" fillId="12" borderId="32" xfId="2" quotePrefix="1" applyNumberFormat="1" applyFont="1" applyFill="1" applyBorder="1" applyAlignment="1">
      <alignment horizontal="right"/>
    </xf>
    <xf numFmtId="166" fontId="62" fillId="0" borderId="0" xfId="2" applyNumberFormat="1" applyFont="1" applyFill="1" applyBorder="1" applyAlignment="1">
      <alignment horizontal="right"/>
    </xf>
    <xf numFmtId="0" fontId="4" fillId="0" borderId="0" xfId="0" applyFont="1" applyFill="1" applyBorder="1"/>
    <xf numFmtId="0" fontId="73" fillId="0" borderId="0" xfId="0" applyFont="1" applyFill="1"/>
    <xf numFmtId="0" fontId="54" fillId="0" borderId="0" xfId="0" applyFont="1" applyFill="1"/>
    <xf numFmtId="165" fontId="64" fillId="0" borderId="5" xfId="1" quotePrefix="1" applyNumberFormat="1" applyFont="1" applyFill="1" applyBorder="1" applyAlignment="1">
      <alignment horizontal="right"/>
    </xf>
    <xf numFmtId="165" fontId="65" fillId="0" borderId="0" xfId="1" quotePrefix="1" applyNumberFormat="1" applyFont="1" applyFill="1" applyBorder="1" applyAlignment="1">
      <alignment horizontal="right"/>
    </xf>
    <xf numFmtId="165" fontId="65" fillId="0" borderId="5" xfId="1" quotePrefix="1" applyNumberFormat="1" applyFont="1" applyFill="1" applyBorder="1" applyAlignment="1">
      <alignment horizontal="right"/>
    </xf>
    <xf numFmtId="0" fontId="72" fillId="0" borderId="3" xfId="0" applyFont="1" applyBorder="1" applyAlignment="1">
      <alignment horizontal="left"/>
    </xf>
    <xf numFmtId="165" fontId="4" fillId="0" borderId="34" xfId="1" quotePrefix="1" applyNumberFormat="1" applyFont="1" applyFill="1" applyBorder="1" applyAlignment="1">
      <alignment horizontal="right"/>
    </xf>
    <xf numFmtId="165" fontId="62" fillId="0" borderId="33" xfId="1" quotePrefix="1" applyNumberFormat="1" applyFont="1" applyFill="1" applyBorder="1" applyAlignment="1">
      <alignment horizontal="right"/>
    </xf>
    <xf numFmtId="165" fontId="62" fillId="0" borderId="34" xfId="1" quotePrefix="1" applyNumberFormat="1" applyFont="1" applyFill="1" applyBorder="1" applyAlignment="1">
      <alignment horizontal="right"/>
    </xf>
    <xf numFmtId="9" fontId="64" fillId="0" borderId="5" xfId="2" quotePrefix="1" applyFont="1" applyFill="1" applyBorder="1" applyAlignment="1">
      <alignment horizontal="right"/>
    </xf>
    <xf numFmtId="10" fontId="64" fillId="0" borderId="0" xfId="2" applyNumberFormat="1" applyFont="1" applyFill="1" applyBorder="1" applyAlignment="1">
      <alignment horizontal="right"/>
    </xf>
    <xf numFmtId="10" fontId="62" fillId="0" borderId="5" xfId="2" applyNumberFormat="1" applyFont="1" applyBorder="1" applyAlignment="1">
      <alignment horizontal="right"/>
    </xf>
    <xf numFmtId="10" fontId="62" fillId="0" borderId="0" xfId="2" applyNumberFormat="1" applyFont="1" applyFill="1" applyBorder="1" applyAlignment="1">
      <alignment horizontal="right"/>
    </xf>
    <xf numFmtId="9" fontId="62" fillId="0" borderId="5" xfId="2" applyFont="1" applyBorder="1" applyAlignment="1">
      <alignment horizontal="right"/>
    </xf>
    <xf numFmtId="166" fontId="62" fillId="0" borderId="5" xfId="2" applyNumberFormat="1" applyFont="1" applyBorder="1" applyAlignment="1">
      <alignment horizontal="right"/>
    </xf>
    <xf numFmtId="166" fontId="62" fillId="0" borderId="5" xfId="2" quotePrefix="1" applyNumberFormat="1" applyFont="1" applyFill="1" applyBorder="1" applyAlignment="1">
      <alignment horizontal="right"/>
    </xf>
    <xf numFmtId="10" fontId="62" fillId="0" borderId="5" xfId="2" quotePrefix="1" applyNumberFormat="1" applyFont="1" applyFill="1" applyBorder="1" applyAlignment="1">
      <alignment horizontal="right"/>
    </xf>
    <xf numFmtId="10" fontId="62" fillId="0" borderId="0" xfId="2" quotePrefix="1" applyNumberFormat="1" applyFont="1" applyFill="1" applyBorder="1" applyAlignment="1">
      <alignment horizontal="right"/>
    </xf>
    <xf numFmtId="225" fontId="62" fillId="0" borderId="5" xfId="2" applyNumberFormat="1" applyFont="1" applyBorder="1" applyAlignment="1">
      <alignment horizontal="right"/>
    </xf>
    <xf numFmtId="6" fontId="62" fillId="0" borderId="5" xfId="2" applyNumberFormat="1" applyFont="1" applyBorder="1" applyAlignment="1">
      <alignment horizontal="right"/>
    </xf>
    <xf numFmtId="165" fontId="62" fillId="0" borderId="32" xfId="1" quotePrefix="1" applyNumberFormat="1" applyFont="1" applyFill="1" applyBorder="1" applyAlignment="1">
      <alignment horizontal="right"/>
    </xf>
    <xf numFmtId="165" fontId="75" fillId="0" borderId="31" xfId="1" quotePrefix="1" applyNumberFormat="1" applyFont="1" applyFill="1" applyBorder="1" applyAlignment="1">
      <alignment horizontal="right"/>
    </xf>
    <xf numFmtId="165" fontId="62" fillId="10" borderId="5" xfId="1" quotePrefix="1" applyNumberFormat="1" applyFont="1" applyFill="1" applyBorder="1" applyAlignment="1">
      <alignment horizontal="right"/>
    </xf>
    <xf numFmtId="165" fontId="65" fillId="10" borderId="0" xfId="1" quotePrefix="1" applyNumberFormat="1" applyFont="1" applyFill="1" applyBorder="1" applyAlignment="1">
      <alignment horizontal="right"/>
    </xf>
    <xf numFmtId="165" fontId="65" fillId="10" borderId="5" xfId="1" quotePrefix="1" applyNumberFormat="1" applyFont="1" applyFill="1" applyBorder="1" applyAlignment="1">
      <alignment horizontal="right"/>
    </xf>
    <xf numFmtId="10" fontId="62" fillId="10" borderId="5" xfId="2" applyNumberFormat="1" applyFont="1" applyFill="1" applyBorder="1" applyAlignment="1">
      <alignment horizontal="right"/>
    </xf>
    <xf numFmtId="10" fontId="62" fillId="10" borderId="5" xfId="2" quotePrefix="1" applyNumberFormat="1" applyFont="1" applyFill="1" applyBorder="1" applyAlignment="1">
      <alignment horizontal="right"/>
    </xf>
    <xf numFmtId="6" fontId="62" fillId="10" borderId="5" xfId="2" applyNumberFormat="1" applyFont="1" applyFill="1" applyBorder="1" applyAlignment="1">
      <alignment horizontal="right"/>
    </xf>
    <xf numFmtId="225" fontId="64" fillId="0" borderId="0" xfId="1" applyNumberFormat="1" applyFont="1" applyFill="1" applyBorder="1" applyAlignment="1">
      <alignment horizontal="right"/>
    </xf>
    <xf numFmtId="225" fontId="64" fillId="0" borderId="0" xfId="2" applyNumberFormat="1" applyFont="1" applyFill="1" applyBorder="1" applyAlignment="1">
      <alignment horizontal="right"/>
    </xf>
    <xf numFmtId="225" fontId="62" fillId="0" borderId="0" xfId="2" applyNumberFormat="1" applyFont="1" applyFill="1" applyBorder="1" applyAlignment="1">
      <alignment horizontal="right"/>
    </xf>
    <xf numFmtId="225" fontId="64" fillId="0" borderId="0" xfId="1" quotePrefix="1" applyNumberFormat="1" applyFont="1" applyFill="1" applyBorder="1" applyAlignment="1">
      <alignment horizontal="right"/>
    </xf>
    <xf numFmtId="225" fontId="62" fillId="10" borderId="5" xfId="2" applyNumberFormat="1" applyFont="1" applyFill="1" applyBorder="1" applyAlignment="1">
      <alignment horizontal="right"/>
    </xf>
    <xf numFmtId="165" fontId="75" fillId="10" borderId="31" xfId="1" quotePrefix="1" applyNumberFormat="1" applyFont="1" applyFill="1" applyBorder="1" applyAlignment="1">
      <alignment horizontal="right"/>
    </xf>
    <xf numFmtId="0" fontId="62" fillId="0" borderId="0" xfId="0" applyFont="1" applyFill="1"/>
    <xf numFmtId="165" fontId="62" fillId="0" borderId="5" xfId="2" quotePrefix="1" applyNumberFormat="1" applyFont="1" applyFill="1" applyBorder="1" applyAlignment="1">
      <alignment horizontal="right"/>
    </xf>
    <xf numFmtId="0" fontId="64" fillId="0" borderId="0" xfId="0" applyFont="1" applyFill="1"/>
    <xf numFmtId="6" fontId="62" fillId="0" borderId="5" xfId="2" applyNumberFormat="1" applyFont="1" applyFill="1" applyBorder="1" applyAlignment="1">
      <alignment horizontal="right"/>
    </xf>
    <xf numFmtId="9" fontId="62" fillId="0" borderId="0" xfId="2" applyFont="1" applyBorder="1" applyAlignment="1">
      <alignment horizontal="right"/>
    </xf>
    <xf numFmtId="166" fontId="62" fillId="0" borderId="0" xfId="2" applyNumberFormat="1" applyFont="1" applyBorder="1" applyAlignment="1">
      <alignment horizontal="right"/>
    </xf>
    <xf numFmtId="166" fontId="62" fillId="0" borderId="5" xfId="2" applyNumberFormat="1" applyFont="1" applyFill="1" applyBorder="1" applyAlignment="1">
      <alignment horizontal="right"/>
    </xf>
    <xf numFmtId="0" fontId="62" fillId="0" borderId="3" xfId="0" applyFont="1" applyBorder="1" applyAlignment="1"/>
    <xf numFmtId="164" fontId="62" fillId="0" borderId="0" xfId="1" quotePrefix="1" applyNumberFormat="1" applyFont="1" applyFill="1" applyBorder="1" applyAlignment="1">
      <alignment horizontal="right"/>
    </xf>
    <xf numFmtId="164" fontId="62" fillId="0" borderId="5" xfId="1" quotePrefix="1" applyNumberFormat="1" applyFont="1" applyFill="1" applyBorder="1" applyAlignment="1">
      <alignment horizontal="right"/>
    </xf>
    <xf numFmtId="164" fontId="62" fillId="10" borderId="0" xfId="1" quotePrefix="1" applyNumberFormat="1" applyFont="1" applyFill="1" applyBorder="1" applyAlignment="1">
      <alignment horizontal="right"/>
    </xf>
    <xf numFmtId="167" fontId="62" fillId="0" borderId="5" xfId="1" quotePrefix="1" applyNumberFormat="1" applyFont="1" applyFill="1" applyBorder="1" applyAlignment="1">
      <alignment horizontal="right"/>
    </xf>
    <xf numFmtId="165" fontId="65" fillId="10" borderId="0" xfId="1" applyNumberFormat="1" applyFont="1" applyFill="1" applyBorder="1" applyAlignment="1">
      <alignment horizontal="right"/>
    </xf>
    <xf numFmtId="9" fontId="62" fillId="0" borderId="5" xfId="2" quotePrefix="1" applyFont="1" applyFill="1" applyBorder="1" applyAlignment="1">
      <alignment horizontal="right"/>
    </xf>
    <xf numFmtId="165" fontId="62" fillId="10" borderId="0" xfId="1" applyNumberFormat="1" applyFont="1" applyFill="1" applyBorder="1" applyAlignment="1">
      <alignment horizontal="right"/>
    </xf>
    <xf numFmtId="9" fontId="62" fillId="10" borderId="0" xfId="2" applyFont="1" applyFill="1" applyBorder="1" applyAlignment="1">
      <alignment horizontal="right"/>
    </xf>
    <xf numFmtId="166" fontId="62" fillId="10" borderId="0" xfId="2" applyNumberFormat="1" applyFont="1" applyFill="1" applyBorder="1" applyAlignment="1">
      <alignment horizontal="right"/>
    </xf>
    <xf numFmtId="166" fontId="62" fillId="0" borderId="33" xfId="2" quotePrefix="1" applyNumberFormat="1" applyFont="1" applyFill="1" applyBorder="1" applyAlignment="1">
      <alignment horizontal="right"/>
    </xf>
    <xf numFmtId="43" fontId="62" fillId="10" borderId="0" xfId="1" quotePrefix="1" applyNumberFormat="1" applyFont="1" applyFill="1" applyBorder="1" applyAlignment="1">
      <alignment horizontal="right"/>
    </xf>
    <xf numFmtId="0" fontId="72" fillId="0" borderId="3" xfId="3" applyFont="1" applyFill="1" applyBorder="1" applyAlignment="1">
      <alignment horizontal="left" vertical="top"/>
    </xf>
    <xf numFmtId="0" fontId="62" fillId="0" borderId="3" xfId="3" applyFont="1" applyFill="1" applyBorder="1" applyAlignment="1">
      <alignment horizontal="left" vertical="top" indent="1"/>
    </xf>
    <xf numFmtId="0" fontId="62" fillId="0" borderId="3" xfId="0" applyFont="1" applyFill="1" applyBorder="1" applyAlignment="1">
      <alignment horizontal="left" indent="2"/>
    </xf>
    <xf numFmtId="165" fontId="62" fillId="10" borderId="5" xfId="2" quotePrefix="1" applyNumberFormat="1" applyFont="1" applyFill="1" applyBorder="1" applyAlignment="1">
      <alignment horizontal="right"/>
    </xf>
    <xf numFmtId="0" fontId="62" fillId="0" borderId="27" xfId="0" applyFont="1" applyBorder="1" applyAlignment="1">
      <alignment horizontal="left" indent="1"/>
    </xf>
    <xf numFmtId="0" fontId="62" fillId="0" borderId="3" xfId="0" applyFont="1" applyFill="1" applyBorder="1" applyAlignment="1">
      <alignment horizontal="left" indent="3"/>
    </xf>
    <xf numFmtId="165" fontId="62" fillId="10" borderId="33" xfId="1" quotePrefix="1" applyNumberFormat="1" applyFont="1" applyFill="1" applyBorder="1" applyAlignment="1">
      <alignment horizontal="right"/>
    </xf>
    <xf numFmtId="165" fontId="54" fillId="0" borderId="9" xfId="1" applyNumberFormat="1" applyFont="1" applyFill="1" applyBorder="1" applyAlignment="1">
      <alignment horizontal="right"/>
    </xf>
    <xf numFmtId="0" fontId="66" fillId="0" borderId="27" xfId="0" applyFont="1" applyFill="1" applyBorder="1" applyAlignment="1">
      <alignment horizontal="left"/>
    </xf>
    <xf numFmtId="7" fontId="62" fillId="0" borderId="0" xfId="1" applyNumberFormat="1" applyFont="1" applyFill="1" applyBorder="1" applyAlignment="1">
      <alignment horizontal="right"/>
    </xf>
    <xf numFmtId="7" fontId="4" fillId="0" borderId="5" xfId="1" applyNumberFormat="1" applyFont="1" applyFill="1" applyBorder="1" applyAlignment="1">
      <alignment horizontal="right"/>
    </xf>
    <xf numFmtId="7" fontId="62" fillId="10" borderId="0" xfId="1" applyNumberFormat="1" applyFont="1" applyFill="1" applyBorder="1" applyAlignment="1">
      <alignment horizontal="right"/>
    </xf>
    <xf numFmtId="10" fontId="62" fillId="0" borderId="5" xfId="2" applyNumberFormat="1" applyFont="1" applyFill="1" applyBorder="1" applyAlignment="1">
      <alignment horizontal="right"/>
    </xf>
    <xf numFmtId="225" fontId="62" fillId="0" borderId="5" xfId="2" applyNumberFormat="1" applyFont="1" applyFill="1" applyBorder="1" applyAlignment="1">
      <alignment horizontal="right"/>
    </xf>
    <xf numFmtId="164" fontId="62" fillId="0" borderId="5" xfId="1" applyNumberFormat="1" applyFont="1" applyFill="1" applyBorder="1" applyAlignment="1">
      <alignment horizontal="right"/>
    </xf>
    <xf numFmtId="41" fontId="62" fillId="0" borderId="0" xfId="1" quotePrefix="1" applyNumberFormat="1" applyFont="1" applyFill="1" applyBorder="1" applyAlignment="1">
      <alignment horizontal="right"/>
    </xf>
    <xf numFmtId="41" fontId="62" fillId="0" borderId="33" xfId="1" quotePrefix="1" applyNumberFormat="1" applyFont="1" applyFill="1" applyBorder="1" applyAlignment="1">
      <alignment horizontal="right"/>
    </xf>
    <xf numFmtId="165" fontId="70" fillId="0" borderId="0" xfId="1" quotePrefix="1" applyNumberFormat="1" applyFont="1" applyFill="1" applyBorder="1" applyAlignment="1">
      <alignment horizontal="right"/>
    </xf>
    <xf numFmtId="164" fontId="71" fillId="0" borderId="5" xfId="1" quotePrefix="1" applyNumberFormat="1" applyFont="1" applyFill="1" applyBorder="1" applyAlignment="1">
      <alignment horizontal="right"/>
    </xf>
    <xf numFmtId="164" fontId="56" fillId="0" borderId="37" xfId="1" quotePrefix="1" applyNumberFormat="1" applyFont="1" applyFill="1" applyBorder="1" applyAlignment="1">
      <alignment horizontal="right"/>
    </xf>
    <xf numFmtId="165" fontId="64" fillId="0" borderId="32" xfId="1" quotePrefix="1" applyNumberFormat="1" applyFont="1" applyFill="1" applyBorder="1" applyAlignment="1">
      <alignment horizontal="right"/>
    </xf>
    <xf numFmtId="0" fontId="64" fillId="0" borderId="3" xfId="0" applyFont="1" applyBorder="1" applyAlignment="1">
      <alignment horizontal="left" indent="4"/>
    </xf>
    <xf numFmtId="7" fontId="62" fillId="0" borderId="5" xfId="1" applyNumberFormat="1" applyFont="1" applyFill="1" applyBorder="1" applyAlignment="1">
      <alignment horizontal="right"/>
    </xf>
    <xf numFmtId="164" fontId="62" fillId="0" borderId="7" xfId="1" applyNumberFormat="1" applyFont="1" applyFill="1" applyBorder="1" applyAlignment="1">
      <alignment horizontal="right"/>
    </xf>
    <xf numFmtId="164" fontId="62" fillId="0" borderId="8" xfId="1" applyNumberFormat="1" applyFont="1" applyFill="1" applyBorder="1" applyAlignment="1">
      <alignment horizontal="right"/>
    </xf>
    <xf numFmtId="9" fontId="62" fillId="0" borderId="7" xfId="2" applyFont="1" applyFill="1" applyBorder="1" applyAlignment="1">
      <alignment horizontal="left"/>
    </xf>
    <xf numFmtId="166" fontId="62" fillId="0" borderId="7" xfId="2" applyNumberFormat="1" applyFont="1" applyFill="1" applyBorder="1" applyAlignment="1">
      <alignment horizontal="right"/>
    </xf>
    <xf numFmtId="0" fontId="62" fillId="0" borderId="3" xfId="0" applyFont="1" applyFill="1" applyBorder="1"/>
    <xf numFmtId="9" fontId="62" fillId="10" borderId="4" xfId="2" applyNumberFormat="1" applyFont="1" applyFill="1" applyBorder="1" applyAlignment="1">
      <alignment horizontal="right"/>
    </xf>
    <xf numFmtId="165" fontId="62" fillId="0" borderId="33" xfId="1" applyNumberFormat="1" applyFont="1" applyBorder="1" applyAlignment="1">
      <alignment horizontal="right"/>
    </xf>
    <xf numFmtId="43" fontId="62" fillId="0" borderId="7" xfId="1" applyFont="1" applyBorder="1" applyAlignment="1">
      <alignment horizontal="right"/>
    </xf>
    <xf numFmtId="43" fontId="62" fillId="0" borderId="8" xfId="1" applyFont="1" applyBorder="1" applyAlignment="1">
      <alignment horizontal="right"/>
    </xf>
    <xf numFmtId="0" fontId="62" fillId="0" borderId="3" xfId="0" applyFont="1" applyBorder="1"/>
    <xf numFmtId="43" fontId="65" fillId="10" borderId="4" xfId="1" quotePrefix="1" applyNumberFormat="1" applyFont="1" applyFill="1" applyBorder="1" applyAlignment="1">
      <alignment horizontal="right"/>
    </xf>
    <xf numFmtId="0" fontId="77" fillId="0" borderId="0" xfId="0" applyFont="1" applyFill="1"/>
    <xf numFmtId="0" fontId="76" fillId="0" borderId="12" xfId="0" applyFont="1" applyFill="1" applyBorder="1" applyAlignment="1">
      <alignment horizontal="left"/>
    </xf>
    <xf numFmtId="0" fontId="76" fillId="0" borderId="13" xfId="0" applyFont="1" applyFill="1" applyBorder="1" applyAlignment="1">
      <alignment horizontal="left"/>
    </xf>
    <xf numFmtId="165" fontId="76" fillId="0" borderId="44" xfId="1" applyNumberFormat="1" applyFont="1" applyFill="1" applyBorder="1" applyAlignment="1">
      <alignment horizontal="right"/>
    </xf>
    <xf numFmtId="165" fontId="76" fillId="0" borderId="43" xfId="1" applyNumberFormat="1" applyFont="1" applyFill="1" applyBorder="1" applyAlignment="1">
      <alignment horizontal="right"/>
    </xf>
    <xf numFmtId="165" fontId="62" fillId="0" borderId="7" xfId="1" applyNumberFormat="1" applyFont="1" applyFill="1" applyBorder="1" applyAlignment="1">
      <alignment horizontal="right"/>
    </xf>
    <xf numFmtId="165" fontId="62" fillId="0" borderId="8" xfId="1" applyNumberFormat="1" applyFont="1" applyFill="1" applyBorder="1" applyAlignment="1">
      <alignment horizontal="right"/>
    </xf>
    <xf numFmtId="0" fontId="78" fillId="0" borderId="0" xfId="0" applyFont="1"/>
    <xf numFmtId="0" fontId="79" fillId="0" borderId="3" xfId="0" applyFont="1" applyBorder="1" applyAlignment="1">
      <alignment horizontal="left"/>
    </xf>
    <xf numFmtId="0" fontId="79" fillId="0" borderId="4" xfId="0" applyFont="1" applyBorder="1" applyAlignment="1"/>
    <xf numFmtId="165" fontId="79" fillId="0" borderId="0" xfId="1" applyNumberFormat="1" applyFont="1" applyFill="1" applyBorder="1" applyAlignment="1">
      <alignment horizontal="right"/>
    </xf>
    <xf numFmtId="165" fontId="79" fillId="0" borderId="5" xfId="1" applyNumberFormat="1" applyFont="1" applyFill="1" applyBorder="1" applyAlignment="1">
      <alignment horizontal="right"/>
    </xf>
    <xf numFmtId="165" fontId="79" fillId="0" borderId="5" xfId="1" applyNumberFormat="1" applyFont="1" applyBorder="1" applyAlignment="1">
      <alignment horizontal="right"/>
    </xf>
    <xf numFmtId="165" fontId="80" fillId="0" borderId="0" xfId="1" applyNumberFormat="1" applyFont="1" applyFill="1" applyBorder="1" applyAlignment="1">
      <alignment horizontal="right"/>
    </xf>
    <xf numFmtId="0" fontId="78" fillId="0" borderId="3" xfId="0" applyFont="1" applyBorder="1" applyAlignment="1">
      <alignment horizontal="left"/>
    </xf>
    <xf numFmtId="0" fontId="78" fillId="0" borderId="4" xfId="0" applyFont="1" applyBorder="1" applyAlignment="1"/>
    <xf numFmtId="165" fontId="81" fillId="0" borderId="0" xfId="1" applyNumberFormat="1" applyFont="1" applyFill="1" applyBorder="1" applyAlignment="1">
      <alignment horizontal="right"/>
    </xf>
    <xf numFmtId="0" fontId="79" fillId="0" borderId="4" xfId="0" applyFont="1" applyBorder="1" applyAlignment="1">
      <alignment horizontal="left"/>
    </xf>
    <xf numFmtId="165" fontId="79" fillId="0" borderId="0" xfId="1" applyNumberFormat="1" applyFont="1" applyBorder="1" applyAlignment="1">
      <alignment horizontal="right"/>
    </xf>
    <xf numFmtId="165" fontId="80" fillId="0" borderId="5" xfId="1" applyNumberFormat="1" applyFont="1" applyFill="1" applyBorder="1" applyAlignment="1">
      <alignment horizontal="right"/>
    </xf>
    <xf numFmtId="165" fontId="80" fillId="0" borderId="0" xfId="1" applyNumberFormat="1" applyFont="1" applyBorder="1" applyAlignment="1">
      <alignment horizontal="right"/>
    </xf>
    <xf numFmtId="165" fontId="80" fillId="0" borderId="5" xfId="1" applyNumberFormat="1" applyFont="1" applyBorder="1" applyAlignment="1">
      <alignment horizontal="right"/>
    </xf>
    <xf numFmtId="43" fontId="79" fillId="0" borderId="0" xfId="1" applyNumberFormat="1" applyFont="1" applyFill="1" applyBorder="1" applyAlignment="1">
      <alignment horizontal="right"/>
    </xf>
    <xf numFmtId="43" fontId="79" fillId="0" borderId="5" xfId="1" applyNumberFormat="1" applyFont="1" applyFill="1" applyBorder="1" applyAlignment="1">
      <alignment horizontal="right"/>
    </xf>
    <xf numFmtId="165" fontId="81" fillId="0" borderId="5" xfId="1" applyNumberFormat="1" applyFont="1" applyFill="1" applyBorder="1" applyAlignment="1">
      <alignment horizontal="right"/>
    </xf>
    <xf numFmtId="165" fontId="81" fillId="0" borderId="5" xfId="1" applyNumberFormat="1" applyFont="1" applyBorder="1" applyAlignment="1">
      <alignment horizontal="right"/>
    </xf>
    <xf numFmtId="0" fontId="4" fillId="0" borderId="4" xfId="0" applyFont="1" applyBorder="1" applyAlignment="1">
      <alignment horizontal="left"/>
    </xf>
    <xf numFmtId="0" fontId="62" fillId="0" borderId="3" xfId="0" applyFont="1" applyBorder="1" applyAlignment="1">
      <alignment horizontal="left"/>
    </xf>
    <xf numFmtId="0" fontId="62" fillId="0" borderId="4" xfId="0" applyFont="1" applyBorder="1" applyAlignment="1">
      <alignment horizontal="left"/>
    </xf>
    <xf numFmtId="0" fontId="66" fillId="0" borderId="4" xfId="0" applyFont="1" applyBorder="1" applyAlignment="1">
      <alignment horizontal="left"/>
    </xf>
    <xf numFmtId="0" fontId="64" fillId="0" borderId="3" xfId="0" applyFont="1" applyBorder="1" applyAlignment="1">
      <alignment horizontal="left" indent="1"/>
    </xf>
    <xf numFmtId="0" fontId="64" fillId="0" borderId="4" xfId="0" applyFont="1" applyBorder="1" applyAlignment="1">
      <alignment horizontal="left" indent="1"/>
    </xf>
    <xf numFmtId="0" fontId="62" fillId="0" borderId="3" xfId="0" applyFont="1" applyFill="1" applyBorder="1" applyAlignment="1">
      <alignment horizontal="left"/>
    </xf>
    <xf numFmtId="0" fontId="62" fillId="0" borderId="4" xfId="0" applyFont="1" applyFill="1" applyBorder="1" applyAlignment="1">
      <alignment horizontal="left"/>
    </xf>
    <xf numFmtId="0" fontId="61" fillId="2" borderId="3" xfId="0" applyFont="1" applyFill="1" applyBorder="1" applyAlignment="1">
      <alignment horizontal="left"/>
    </xf>
    <xf numFmtId="0" fontId="66" fillId="12" borderId="4" xfId="0" applyFont="1" applyFill="1" applyBorder="1" applyAlignment="1">
      <alignment horizontal="left"/>
    </xf>
    <xf numFmtId="0" fontId="64" fillId="0" borderId="3" xfId="0" applyFont="1" applyBorder="1" applyAlignment="1">
      <alignment horizontal="left"/>
    </xf>
    <xf numFmtId="0" fontId="64" fillId="0" borderId="4" xfId="0" applyFont="1" applyBorder="1" applyAlignment="1">
      <alignment horizontal="left" indent="2"/>
    </xf>
    <xf numFmtId="0" fontId="62" fillId="0" borderId="3" xfId="0" applyFont="1" applyFill="1" applyBorder="1" applyAlignment="1">
      <alignment horizontal="left" indent="1"/>
    </xf>
    <xf numFmtId="0" fontId="62" fillId="0" borderId="4" xfId="3" applyFont="1" applyFill="1" applyBorder="1" applyAlignment="1">
      <alignment horizontal="left" vertical="top"/>
    </xf>
    <xf numFmtId="0" fontId="62" fillId="0" borderId="27" xfId="0" applyFont="1" applyBorder="1" applyAlignment="1">
      <alignment horizontal="left"/>
    </xf>
    <xf numFmtId="0" fontId="62" fillId="0" borderId="28" xfId="0" applyFont="1" applyBorder="1" applyAlignment="1">
      <alignment horizontal="left"/>
    </xf>
    <xf numFmtId="0" fontId="64" fillId="0" borderId="3" xfId="0" applyFont="1" applyFill="1" applyBorder="1" applyAlignment="1">
      <alignment horizontal="left"/>
    </xf>
    <xf numFmtId="0" fontId="64" fillId="0" borderId="4" xfId="0" applyFont="1" applyFill="1" applyBorder="1" applyAlignment="1">
      <alignment horizontal="left"/>
    </xf>
    <xf numFmtId="0" fontId="62" fillId="0" borderId="3" xfId="0" applyFont="1" applyBorder="1" applyAlignment="1">
      <alignment horizontal="left" indent="2"/>
    </xf>
    <xf numFmtId="0" fontId="62" fillId="0" borderId="4" xfId="0" applyFont="1" applyBorder="1" applyAlignment="1">
      <alignment horizontal="left" indent="2"/>
    </xf>
    <xf numFmtId="0" fontId="62" fillId="0" borderId="6" xfId="0" applyFont="1" applyFill="1" applyBorder="1" applyAlignment="1">
      <alignment horizontal="left"/>
    </xf>
    <xf numFmtId="0" fontId="62" fillId="0" borderId="10" xfId="0" applyFont="1" applyFill="1" applyBorder="1" applyAlignment="1">
      <alignment horizontal="left"/>
    </xf>
    <xf numFmtId="166" fontId="62" fillId="0" borderId="5" xfId="2" quotePrefix="1" applyNumberFormat="1" applyFont="1" applyBorder="1" applyAlignment="1">
      <alignment horizontal="right"/>
    </xf>
    <xf numFmtId="166" fontId="62" fillId="0" borderId="8" xfId="1" applyNumberFormat="1" applyFont="1" applyFill="1" applyBorder="1" applyAlignment="1">
      <alignment horizontal="right"/>
    </xf>
    <xf numFmtId="43" fontId="4" fillId="0" borderId="0" xfId="1" applyNumberFormat="1" applyFont="1" applyBorder="1" applyAlignment="1">
      <alignment horizontal="right"/>
    </xf>
    <xf numFmtId="166" fontId="62" fillId="10" borderId="33" xfId="2" applyNumberFormat="1" applyFont="1" applyFill="1" applyBorder="1" applyAlignment="1">
      <alignment horizontal="right"/>
    </xf>
    <xf numFmtId="9" fontId="62" fillId="10" borderId="7" xfId="2" applyFont="1" applyFill="1" applyBorder="1" applyAlignment="1">
      <alignment horizontal="right"/>
    </xf>
    <xf numFmtId="165" fontId="62" fillId="10" borderId="7" xfId="1" applyNumberFormat="1" applyFont="1" applyFill="1" applyBorder="1" applyAlignment="1">
      <alignment horizontal="right"/>
    </xf>
    <xf numFmtId="0" fontId="62" fillId="0" borderId="27" xfId="0" applyFont="1" applyFill="1" applyBorder="1" applyAlignment="1">
      <alignment horizontal="left" indent="2"/>
    </xf>
    <xf numFmtId="0" fontId="62" fillId="0" borderId="28" xfId="0" applyFont="1" applyFill="1" applyBorder="1" applyAlignment="1">
      <alignment horizontal="left"/>
    </xf>
    <xf numFmtId="0" fontId="64" fillId="0" borderId="3" xfId="0" applyFont="1" applyFill="1" applyBorder="1" applyAlignment="1">
      <alignment horizontal="left" indent="2"/>
    </xf>
    <xf numFmtId="0" fontId="62" fillId="0" borderId="3" xfId="0" applyFont="1" applyFill="1" applyBorder="1" applyAlignment="1">
      <alignment horizontal="left" indent="4"/>
    </xf>
    <xf numFmtId="166" fontId="62" fillId="12" borderId="33" xfId="2" quotePrefix="1" applyNumberFormat="1" applyFont="1" applyFill="1" applyBorder="1" applyAlignment="1">
      <alignment horizontal="right"/>
    </xf>
    <xf numFmtId="227" fontId="68" fillId="12" borderId="0" xfId="1" quotePrefix="1" applyNumberFormat="1" applyFont="1" applyFill="1" applyBorder="1" applyAlignment="1">
      <alignment horizontal="right"/>
    </xf>
    <xf numFmtId="227" fontId="68" fillId="12" borderId="5" xfId="1" quotePrefix="1" applyNumberFormat="1" applyFont="1" applyFill="1" applyBorder="1" applyAlignment="1">
      <alignment horizontal="right"/>
    </xf>
    <xf numFmtId="165" fontId="69" fillId="12" borderId="0" xfId="1" quotePrefix="1" applyNumberFormat="1" applyFont="1" applyFill="1" applyBorder="1" applyAlignment="1">
      <alignment horizontal="right"/>
    </xf>
    <xf numFmtId="9" fontId="62" fillId="12" borderId="0" xfId="2" quotePrefix="1" applyFont="1" applyFill="1" applyBorder="1" applyAlignment="1">
      <alignment horizontal="right"/>
    </xf>
    <xf numFmtId="166" fontId="4" fillId="12" borderId="5" xfId="1" quotePrefix="1" applyNumberFormat="1" applyFont="1" applyFill="1" applyBorder="1" applyAlignment="1">
      <alignment horizontal="right"/>
    </xf>
    <xf numFmtId="166" fontId="64" fillId="12" borderId="0" xfId="2" quotePrefix="1" applyNumberFormat="1" applyFont="1" applyFill="1" applyBorder="1" applyAlignment="1">
      <alignment horizontal="right"/>
    </xf>
    <xf numFmtId="166" fontId="54" fillId="12" borderId="5" xfId="2" quotePrefix="1" applyNumberFormat="1" applyFont="1" applyFill="1" applyBorder="1" applyAlignment="1">
      <alignment horizontal="right"/>
    </xf>
    <xf numFmtId="0" fontId="64" fillId="0" borderId="14" xfId="0" applyFont="1" applyFill="1" applyBorder="1" applyAlignment="1">
      <alignment horizontal="left"/>
    </xf>
    <xf numFmtId="165" fontId="64" fillId="0" borderId="31" xfId="1" quotePrefix="1" applyNumberFormat="1" applyFont="1" applyFill="1" applyBorder="1" applyAlignment="1">
      <alignment horizontal="right"/>
    </xf>
    <xf numFmtId="0" fontId="72" fillId="0" borderId="27" xfId="0" applyFont="1" applyFill="1" applyBorder="1" applyAlignment="1">
      <alignment horizontal="left"/>
    </xf>
    <xf numFmtId="0" fontId="67" fillId="0" borderId="28" xfId="0" applyFont="1" applyFill="1" applyBorder="1" applyAlignment="1">
      <alignment horizontal="left"/>
    </xf>
    <xf numFmtId="165" fontId="52" fillId="0" borderId="33" xfId="1" quotePrefix="1" applyNumberFormat="1" applyFont="1" applyFill="1" applyBorder="1" applyAlignment="1">
      <alignment horizontal="right"/>
    </xf>
    <xf numFmtId="166" fontId="4" fillId="0" borderId="34" xfId="2" quotePrefix="1" applyNumberFormat="1" applyFont="1" applyFill="1" applyBorder="1" applyAlignment="1">
      <alignment horizontal="right"/>
    </xf>
    <xf numFmtId="165" fontId="62" fillId="10" borderId="32" xfId="1" quotePrefix="1" applyNumberFormat="1" applyFont="1" applyFill="1" applyBorder="1" applyAlignment="1">
      <alignment horizontal="right"/>
    </xf>
    <xf numFmtId="0" fontId="72" fillId="12" borderId="27" xfId="0" applyFont="1" applyFill="1" applyBorder="1" applyAlignment="1">
      <alignment horizontal="left"/>
    </xf>
    <xf numFmtId="0" fontId="67" fillId="12" borderId="28" xfId="0" applyFont="1" applyFill="1" applyBorder="1" applyAlignment="1">
      <alignment horizontal="left"/>
    </xf>
    <xf numFmtId="43" fontId="62" fillId="12" borderId="33" xfId="1" quotePrefix="1" applyFont="1" applyFill="1" applyBorder="1" applyAlignment="1">
      <alignment horizontal="right"/>
    </xf>
    <xf numFmtId="165" fontId="62" fillId="12" borderId="34" xfId="1" quotePrefix="1" applyNumberFormat="1" applyFont="1" applyFill="1" applyBorder="1" applyAlignment="1">
      <alignment horizontal="right"/>
    </xf>
    <xf numFmtId="166" fontId="4" fillId="12" borderId="34" xfId="2" quotePrefix="1" applyNumberFormat="1" applyFont="1" applyFill="1" applyBorder="1" applyAlignment="1">
      <alignment horizontal="right"/>
    </xf>
    <xf numFmtId="165" fontId="62" fillId="12" borderId="5" xfId="1" quotePrefix="1" applyNumberFormat="1" applyFont="1" applyFill="1" applyBorder="1" applyAlignment="1">
      <alignment horizontal="right"/>
    </xf>
    <xf numFmtId="0" fontId="74" fillId="12" borderId="3" xfId="0" applyFont="1" applyFill="1" applyBorder="1" applyAlignment="1">
      <alignment horizontal="left"/>
    </xf>
    <xf numFmtId="0" fontId="62" fillId="12" borderId="4" xfId="0" applyFont="1" applyFill="1" applyBorder="1" applyAlignment="1">
      <alignment horizontal="left" indent="1"/>
    </xf>
    <xf numFmtId="0" fontId="73" fillId="12" borderId="3" xfId="0" applyFont="1" applyFill="1" applyBorder="1" applyAlignment="1">
      <alignment horizontal="left" indent="1"/>
    </xf>
    <xf numFmtId="0" fontId="73" fillId="12" borderId="4" xfId="0" applyFont="1" applyFill="1" applyBorder="1" applyAlignment="1">
      <alignment horizontal="left" indent="1"/>
    </xf>
    <xf numFmtId="165" fontId="73" fillId="12" borderId="0" xfId="1" quotePrefix="1" applyNumberFormat="1" applyFont="1" applyFill="1" applyBorder="1" applyAlignment="1">
      <alignment horizontal="right"/>
    </xf>
    <xf numFmtId="165" fontId="73" fillId="12" borderId="5" xfId="1" quotePrefix="1" applyNumberFormat="1" applyFont="1" applyFill="1" applyBorder="1" applyAlignment="1">
      <alignment horizontal="right"/>
    </xf>
    <xf numFmtId="165" fontId="64" fillId="0" borderId="33" xfId="1" quotePrefix="1" applyNumberFormat="1" applyFont="1" applyFill="1" applyBorder="1" applyAlignment="1">
      <alignment horizontal="right"/>
    </xf>
    <xf numFmtId="0" fontId="72" fillId="0" borderId="27" xfId="0" applyFont="1" applyBorder="1" applyAlignment="1">
      <alignment horizontal="left"/>
    </xf>
    <xf numFmtId="165" fontId="64" fillId="0" borderId="33" xfId="1" applyNumberFormat="1" applyFont="1" applyFill="1" applyBorder="1" applyAlignment="1">
      <alignment horizontal="right"/>
    </xf>
    <xf numFmtId="165" fontId="64" fillId="0" borderId="34" xfId="1" applyNumberFormat="1" applyFont="1" applyBorder="1" applyAlignment="1">
      <alignment horizontal="right"/>
    </xf>
    <xf numFmtId="165" fontId="54" fillId="0" borderId="34" xfId="1" quotePrefix="1" applyNumberFormat="1" applyFont="1" applyFill="1" applyBorder="1" applyAlignment="1">
      <alignment horizontal="right"/>
    </xf>
    <xf numFmtId="0" fontId="72" fillId="12" borderId="27" xfId="0" applyFont="1" applyFill="1" applyBorder="1" applyAlignment="1">
      <alignment horizontal="left" indent="1"/>
    </xf>
    <xf numFmtId="165" fontId="64" fillId="12" borderId="33" xfId="1" quotePrefix="1" applyNumberFormat="1" applyFont="1" applyFill="1" applyBorder="1" applyAlignment="1">
      <alignment horizontal="right"/>
    </xf>
    <xf numFmtId="9" fontId="64" fillId="12" borderId="34" xfId="2" quotePrefix="1" applyFont="1" applyFill="1" applyBorder="1" applyAlignment="1">
      <alignment horizontal="right"/>
    </xf>
    <xf numFmtId="165" fontId="62" fillId="12" borderId="33" xfId="1" quotePrefix="1" applyNumberFormat="1" applyFont="1" applyFill="1" applyBorder="1" applyAlignment="1">
      <alignment horizontal="right"/>
    </xf>
    <xf numFmtId="165" fontId="65" fillId="12" borderId="0" xfId="1" quotePrefix="1" applyNumberFormat="1" applyFont="1" applyFill="1" applyBorder="1" applyAlignment="1">
      <alignment horizontal="right"/>
    </xf>
    <xf numFmtId="165" fontId="62" fillId="12" borderId="5" xfId="2" quotePrefix="1" applyNumberFormat="1" applyFont="1" applyFill="1" applyBorder="1" applyAlignment="1">
      <alignment horizontal="right"/>
    </xf>
    <xf numFmtId="165" fontId="65" fillId="12" borderId="5" xfId="1" quotePrefix="1" applyNumberFormat="1" applyFont="1" applyFill="1" applyBorder="1" applyAlignment="1">
      <alignment horizontal="right"/>
    </xf>
    <xf numFmtId="165" fontId="53" fillId="12" borderId="0" xfId="1" quotePrefix="1" applyNumberFormat="1" applyFont="1" applyFill="1" applyBorder="1" applyAlignment="1">
      <alignment horizontal="right"/>
    </xf>
    <xf numFmtId="0" fontId="73" fillId="12" borderId="3" xfId="0" applyFont="1" applyFill="1" applyBorder="1" applyAlignment="1">
      <alignment horizontal="left" indent="3"/>
    </xf>
    <xf numFmtId="43" fontId="73" fillId="12" borderId="31" xfId="1" applyFont="1" applyFill="1" applyBorder="1" applyAlignment="1">
      <alignment horizontal="left" indent="3"/>
    </xf>
    <xf numFmtId="165" fontId="73" fillId="12" borderId="31" xfId="1" applyNumberFormat="1" applyFont="1" applyFill="1" applyBorder="1" applyAlignment="1">
      <alignment horizontal="left" indent="3"/>
    </xf>
    <xf numFmtId="0" fontId="62" fillId="0" borderId="14" xfId="0" applyFont="1" applyBorder="1" applyAlignment="1">
      <alignment horizontal="left" indent="2"/>
    </xf>
    <xf numFmtId="0" fontId="72" fillId="12" borderId="3" xfId="0" applyFont="1" applyFill="1" applyBorder="1" applyAlignment="1">
      <alignment horizontal="left"/>
    </xf>
    <xf numFmtId="0" fontId="63" fillId="12" borderId="3" xfId="0" applyFont="1" applyFill="1" applyBorder="1" applyAlignment="1">
      <alignment horizontal="left" indent="1"/>
    </xf>
    <xf numFmtId="165" fontId="64" fillId="12" borderId="0" xfId="1" applyNumberFormat="1" applyFont="1" applyFill="1" applyBorder="1" applyAlignment="1">
      <alignment horizontal="right"/>
    </xf>
    <xf numFmtId="165" fontId="64" fillId="12" borderId="5" xfId="1" applyNumberFormat="1" applyFont="1" applyFill="1" applyBorder="1" applyAlignment="1">
      <alignment horizontal="right"/>
    </xf>
    <xf numFmtId="166" fontId="62" fillId="12" borderId="33" xfId="2" applyNumberFormat="1" applyFont="1" applyFill="1" applyBorder="1" applyAlignment="1">
      <alignment horizontal="right"/>
    </xf>
    <xf numFmtId="166" fontId="62" fillId="12" borderId="34" xfId="2" applyNumberFormat="1" applyFont="1" applyFill="1" applyBorder="1" applyAlignment="1">
      <alignment horizontal="right"/>
    </xf>
    <xf numFmtId="166" fontId="62" fillId="12" borderId="0" xfId="2" applyNumberFormat="1" applyFont="1" applyFill="1" applyBorder="1" applyAlignment="1">
      <alignment horizontal="right"/>
    </xf>
    <xf numFmtId="166" fontId="4" fillId="12" borderId="0" xfId="2" applyNumberFormat="1" applyFont="1" applyFill="1" applyBorder="1" applyAlignment="1">
      <alignment horizontal="right"/>
    </xf>
    <xf numFmtId="166" fontId="62" fillId="12" borderId="5" xfId="2" applyNumberFormat="1" applyFont="1" applyFill="1" applyBorder="1" applyAlignment="1">
      <alignment horizontal="right"/>
    </xf>
    <xf numFmtId="9" fontId="4" fillId="12" borderId="5" xfId="2" applyFont="1" applyFill="1" applyBorder="1" applyAlignment="1">
      <alignment horizontal="right"/>
    </xf>
    <xf numFmtId="165" fontId="62" fillId="0" borderId="33" xfId="1" applyNumberFormat="1" applyFont="1" applyFill="1" applyBorder="1" applyAlignment="1">
      <alignment horizontal="right"/>
    </xf>
    <xf numFmtId="165" fontId="62" fillId="0" borderId="34" xfId="1" applyNumberFormat="1" applyFont="1" applyBorder="1" applyAlignment="1">
      <alignment horizontal="right"/>
    </xf>
    <xf numFmtId="165" fontId="62" fillId="12" borderId="33" xfId="1" applyNumberFormat="1" applyFont="1" applyFill="1" applyBorder="1" applyAlignment="1">
      <alignment horizontal="right"/>
    </xf>
    <xf numFmtId="165" fontId="62" fillId="12" borderId="34" xfId="1" applyNumberFormat="1" applyFont="1" applyFill="1" applyBorder="1" applyAlignment="1">
      <alignment horizontal="right"/>
    </xf>
    <xf numFmtId="165" fontId="4" fillId="12" borderId="33" xfId="1" applyNumberFormat="1" applyFont="1" applyFill="1" applyBorder="1" applyAlignment="1">
      <alignment horizontal="right"/>
    </xf>
    <xf numFmtId="165" fontId="62" fillId="12" borderId="0" xfId="1" applyNumberFormat="1" applyFont="1" applyFill="1" applyBorder="1" applyAlignment="1">
      <alignment horizontal="right"/>
    </xf>
    <xf numFmtId="165" fontId="62" fillId="12" borderId="5" xfId="1" applyNumberFormat="1" applyFont="1" applyFill="1" applyBorder="1" applyAlignment="1">
      <alignment horizontal="right"/>
    </xf>
    <xf numFmtId="165" fontId="65" fillId="12" borderId="0" xfId="1" applyNumberFormat="1" applyFont="1" applyFill="1" applyBorder="1" applyAlignment="1">
      <alignment horizontal="right"/>
    </xf>
    <xf numFmtId="165" fontId="65" fillId="12" borderId="5" xfId="1" applyNumberFormat="1" applyFont="1" applyFill="1" applyBorder="1" applyAlignment="1">
      <alignment horizontal="right"/>
    </xf>
    <xf numFmtId="0" fontId="62" fillId="12" borderId="3" xfId="3" applyFont="1" applyFill="1" applyBorder="1" applyAlignment="1">
      <alignment horizontal="left" vertical="top"/>
    </xf>
    <xf numFmtId="0" fontId="62" fillId="12" borderId="4" xfId="3" applyFont="1" applyFill="1" applyBorder="1" applyAlignment="1">
      <alignment horizontal="left" vertical="top"/>
    </xf>
    <xf numFmtId="165" fontId="4" fillId="12" borderId="0" xfId="1" applyNumberFormat="1" applyFont="1" applyFill="1" applyBorder="1" applyAlignment="1">
      <alignment horizontal="right"/>
    </xf>
    <xf numFmtId="165" fontId="4" fillId="12" borderId="5" xfId="1" applyNumberFormat="1" applyFont="1" applyFill="1" applyBorder="1" applyAlignment="1">
      <alignment horizontal="right"/>
    </xf>
    <xf numFmtId="165" fontId="62" fillId="12" borderId="32" xfId="1" applyNumberFormat="1" applyFont="1" applyFill="1" applyBorder="1" applyAlignment="1">
      <alignment horizontal="right"/>
    </xf>
    <xf numFmtId="165" fontId="62" fillId="12" borderId="31" xfId="1" applyNumberFormat="1" applyFont="1" applyFill="1" applyBorder="1" applyAlignment="1">
      <alignment horizontal="right"/>
    </xf>
    <xf numFmtId="9" fontId="62" fillId="0" borderId="33" xfId="2" applyFont="1" applyFill="1" applyBorder="1" applyAlignment="1">
      <alignment horizontal="right"/>
    </xf>
    <xf numFmtId="9" fontId="62" fillId="0" borderId="33" xfId="2" applyFont="1" applyBorder="1" applyAlignment="1">
      <alignment horizontal="right"/>
    </xf>
    <xf numFmtId="9" fontId="62" fillId="0" borderId="34" xfId="2" applyFont="1" applyBorder="1" applyAlignment="1">
      <alignment horizontal="right"/>
    </xf>
    <xf numFmtId="9" fontId="62" fillId="10" borderId="33" xfId="2" applyFont="1" applyFill="1" applyBorder="1" applyAlignment="1">
      <alignment horizontal="right"/>
    </xf>
    <xf numFmtId="0" fontId="62" fillId="12" borderId="27" xfId="0" applyFont="1" applyFill="1" applyBorder="1" applyAlignment="1">
      <alignment horizontal="left"/>
    </xf>
    <xf numFmtId="164" fontId="62" fillId="12" borderId="34" xfId="1" quotePrefix="1" applyNumberFormat="1" applyFont="1" applyFill="1" applyBorder="1" applyAlignment="1">
      <alignment horizontal="right"/>
    </xf>
    <xf numFmtId="166" fontId="62" fillId="12" borderId="34" xfId="2" quotePrefix="1" applyNumberFormat="1" applyFont="1" applyFill="1" applyBorder="1" applyAlignment="1">
      <alignment horizontal="right"/>
    </xf>
    <xf numFmtId="164" fontId="62" fillId="12" borderId="0" xfId="1" quotePrefix="1" applyNumberFormat="1" applyFont="1" applyFill="1" applyBorder="1" applyAlignment="1">
      <alignment horizontal="right"/>
    </xf>
    <xf numFmtId="43" fontId="62" fillId="12" borderId="0" xfId="1" quotePrefix="1" applyNumberFormat="1" applyFont="1" applyFill="1" applyBorder="1" applyAlignment="1">
      <alignment horizontal="right"/>
    </xf>
    <xf numFmtId="164" fontId="62" fillId="12" borderId="5" xfId="1" quotePrefix="1" applyNumberFormat="1" applyFont="1" applyFill="1" applyBorder="1" applyAlignment="1">
      <alignment horizontal="right"/>
    </xf>
    <xf numFmtId="43" fontId="62" fillId="12" borderId="5" xfId="1" quotePrefix="1" applyNumberFormat="1" applyFont="1" applyFill="1" applyBorder="1" applyAlignment="1">
      <alignment horizontal="right"/>
    </xf>
    <xf numFmtId="9" fontId="62" fillId="12" borderId="5" xfId="2" applyFont="1" applyFill="1" applyBorder="1" applyAlignment="1">
      <alignment horizontal="right"/>
    </xf>
    <xf numFmtId="166" fontId="62" fillId="12" borderId="5" xfId="2" quotePrefix="1" applyNumberFormat="1" applyFont="1" applyFill="1" applyBorder="1" applyAlignment="1">
      <alignment horizontal="right"/>
    </xf>
    <xf numFmtId="165" fontId="62" fillId="0" borderId="34" xfId="1" applyNumberFormat="1" applyFont="1" applyFill="1" applyBorder="1" applyAlignment="1">
      <alignment horizontal="right"/>
    </xf>
    <xf numFmtId="165" fontId="4" fillId="0" borderId="33" xfId="1" applyNumberFormat="1" applyFont="1" applyFill="1" applyBorder="1" applyAlignment="1">
      <alignment horizontal="right"/>
    </xf>
    <xf numFmtId="165" fontId="62" fillId="10" borderId="33" xfId="1" applyNumberFormat="1" applyFont="1" applyFill="1" applyBorder="1" applyAlignment="1">
      <alignment horizontal="right"/>
    </xf>
    <xf numFmtId="164" fontId="58" fillId="2" borderId="42" xfId="1" quotePrefix="1" applyNumberFormat="1" applyFont="1" applyFill="1" applyBorder="1" applyAlignment="1">
      <alignment horizontal="right"/>
    </xf>
    <xf numFmtId="164" fontId="59" fillId="2" borderId="5" xfId="1" quotePrefix="1" applyNumberFormat="1" applyFont="1" applyFill="1" applyBorder="1" applyAlignment="1">
      <alignment horizontal="right"/>
    </xf>
    <xf numFmtId="9" fontId="62" fillId="0" borderId="8" xfId="2" quotePrefix="1" applyFont="1" applyFill="1" applyBorder="1" applyAlignment="1">
      <alignment horizontal="right"/>
    </xf>
    <xf numFmtId="0" fontId="4" fillId="0" borderId="10" xfId="0" applyFont="1" applyFill="1" applyBorder="1" applyAlignment="1">
      <alignment horizontal="left"/>
    </xf>
    <xf numFmtId="164" fontId="2" fillId="3" borderId="42" xfId="1" quotePrefix="1" applyNumberFormat="1" applyFont="1" applyFill="1" applyBorder="1" applyAlignment="1">
      <alignment horizontal="right"/>
    </xf>
    <xf numFmtId="164" fontId="53" fillId="3" borderId="5" xfId="1" quotePrefix="1" applyNumberFormat="1" applyFont="1" applyFill="1" applyBorder="1" applyAlignment="1">
      <alignment horizontal="right"/>
    </xf>
    <xf numFmtId="0" fontId="61" fillId="2" borderId="4" xfId="0" applyFont="1" applyFill="1" applyBorder="1" applyAlignment="1">
      <alignment horizontal="left"/>
    </xf>
    <xf numFmtId="0" fontId="4" fillId="0" borderId="4" xfId="0" applyFont="1" applyFill="1" applyBorder="1" applyAlignment="1">
      <alignment horizontal="left"/>
    </xf>
    <xf numFmtId="0" fontId="66" fillId="12" borderId="28" xfId="0" applyFont="1" applyFill="1" applyBorder="1" applyAlignment="1">
      <alignment horizontal="left"/>
    </xf>
    <xf numFmtId="0" fontId="68" fillId="0" borderId="28" xfId="0" applyFont="1" applyBorder="1" applyAlignment="1">
      <alignment horizontal="left"/>
    </xf>
    <xf numFmtId="0" fontId="68" fillId="0" borderId="4" xfId="0" applyFont="1" applyBorder="1" applyAlignment="1">
      <alignment horizontal="left"/>
    </xf>
    <xf numFmtId="0" fontId="68" fillId="0" borderId="15" xfId="0" applyFont="1" applyBorder="1" applyAlignment="1">
      <alignment horizontal="left"/>
    </xf>
    <xf numFmtId="0" fontId="66" fillId="0" borderId="28" xfId="0" applyFont="1" applyBorder="1" applyAlignment="1">
      <alignment horizontal="left"/>
    </xf>
    <xf numFmtId="0" fontId="79" fillId="0" borderId="4" xfId="0" applyFont="1" applyFill="1" applyBorder="1" applyAlignment="1">
      <alignment horizontal="left"/>
    </xf>
    <xf numFmtId="9" fontId="62" fillId="0" borderId="8" xfId="2" applyNumberFormat="1" applyFont="1" applyFill="1" applyBorder="1" applyAlignment="1">
      <alignment horizontal="right"/>
    </xf>
    <xf numFmtId="9" fontId="62" fillId="0" borderId="8" xfId="2" applyFont="1" applyFill="1" applyBorder="1" applyAlignment="1">
      <alignment horizontal="right"/>
    </xf>
    <xf numFmtId="43" fontId="4" fillId="0" borderId="5" xfId="1" quotePrefix="1" applyNumberFormat="1" applyFont="1" applyBorder="1" applyAlignment="1">
      <alignment horizontal="right"/>
    </xf>
    <xf numFmtId="43" fontId="4" fillId="12" borderId="5" xfId="1" quotePrefix="1" applyNumberFormat="1" applyFont="1" applyFill="1" applyBorder="1" applyAlignment="1">
      <alignment horizontal="right"/>
    </xf>
    <xf numFmtId="10" fontId="4" fillId="0" borderId="5" xfId="2" applyNumberFormat="1" applyFont="1" applyBorder="1" applyAlignment="1">
      <alignment horizontal="right"/>
    </xf>
    <xf numFmtId="166" fontId="69" fillId="0" borderId="0" xfId="2" applyNumberFormat="1" applyFont="1" applyFill="1" applyBorder="1" applyAlignment="1">
      <alignment horizontal="right"/>
    </xf>
    <xf numFmtId="165" fontId="62" fillId="12" borderId="38" xfId="1" quotePrefix="1" applyNumberFormat="1" applyFont="1" applyFill="1" applyBorder="1" applyAlignment="1">
      <alignment horizontal="right"/>
    </xf>
    <xf numFmtId="165" fontId="62" fillId="3" borderId="0" xfId="1" quotePrefix="1" applyNumberFormat="1" applyFont="1" applyFill="1" applyBorder="1" applyAlignment="1">
      <alignment horizontal="right"/>
    </xf>
    <xf numFmtId="164" fontId="62" fillId="0" borderId="32" xfId="1" quotePrefix="1" applyNumberFormat="1" applyFont="1" applyFill="1" applyBorder="1" applyAlignment="1">
      <alignment horizontal="right"/>
    </xf>
    <xf numFmtId="167" fontId="62" fillId="0" borderId="0" xfId="1" quotePrefix="1" applyNumberFormat="1" applyFont="1" applyFill="1" applyBorder="1" applyAlignment="1">
      <alignment horizontal="left"/>
    </xf>
    <xf numFmtId="0" fontId="84" fillId="0" borderId="3" xfId="0" applyFont="1" applyBorder="1"/>
    <xf numFmtId="0" fontId="82" fillId="0" borderId="3" xfId="0" applyFont="1" applyBorder="1"/>
    <xf numFmtId="5" fontId="82" fillId="0" borderId="4" xfId="1" applyNumberFormat="1" applyFont="1" applyFill="1" applyBorder="1" applyAlignment="1">
      <alignment horizontal="right"/>
    </xf>
    <xf numFmtId="165" fontId="83" fillId="0" borderId="15" xfId="1" applyNumberFormat="1" applyFont="1" applyBorder="1" applyAlignment="1">
      <alignment horizontal="right"/>
    </xf>
    <xf numFmtId="0" fontId="82" fillId="0" borderId="3" xfId="0" applyFont="1" applyFill="1" applyBorder="1"/>
    <xf numFmtId="167" fontId="82" fillId="10" borderId="4" xfId="1" applyNumberFormat="1" applyFont="1" applyFill="1" applyBorder="1" applyAlignment="1">
      <alignment horizontal="right"/>
    </xf>
    <xf numFmtId="43" fontId="82" fillId="0" borderId="4" xfId="1" applyNumberFormat="1" applyFont="1" applyBorder="1" applyAlignment="1">
      <alignment horizontal="right"/>
    </xf>
    <xf numFmtId="166" fontId="82" fillId="10" borderId="4" xfId="1" applyNumberFormat="1" applyFont="1" applyFill="1" applyBorder="1" applyAlignment="1">
      <alignment horizontal="right"/>
    </xf>
    <xf numFmtId="166" fontId="83" fillId="0" borderId="4" xfId="2" applyNumberFormat="1" applyFont="1" applyBorder="1" applyAlignment="1">
      <alignment horizontal="right"/>
    </xf>
    <xf numFmtId="10" fontId="82" fillId="10" borderId="4" xfId="2" applyNumberFormat="1" applyFont="1" applyFill="1" applyBorder="1" applyAlignment="1">
      <alignment horizontal="right"/>
    </xf>
    <xf numFmtId="166" fontId="62" fillId="0" borderId="4" xfId="2" applyNumberFormat="1" applyFont="1" applyBorder="1" applyAlignment="1">
      <alignment horizontal="right"/>
    </xf>
    <xf numFmtId="166" fontId="64" fillId="0" borderId="15" xfId="2" applyNumberFormat="1" applyFont="1" applyBorder="1" applyAlignment="1">
      <alignment horizontal="right"/>
    </xf>
    <xf numFmtId="0" fontId="83" fillId="0" borderId="14" xfId="0" applyFont="1" applyFill="1" applyBorder="1" applyAlignment="1">
      <alignment horizontal="left" indent="1"/>
    </xf>
    <xf numFmtId="0" fontId="83" fillId="0" borderId="3" xfId="0" applyFont="1" applyFill="1" applyBorder="1" applyAlignment="1">
      <alignment horizontal="left" indent="1"/>
    </xf>
    <xf numFmtId="0" fontId="64" fillId="0" borderId="14" xfId="0" applyFont="1" applyFill="1" applyBorder="1" applyAlignment="1">
      <alignment horizontal="left" indent="1"/>
    </xf>
    <xf numFmtId="166" fontId="83" fillId="0" borderId="15" xfId="2" applyNumberFormat="1" applyFont="1" applyBorder="1" applyAlignment="1">
      <alignment horizontal="right"/>
    </xf>
    <xf numFmtId="166" fontId="62" fillId="10" borderId="4" xfId="2" applyNumberFormat="1" applyFont="1" applyFill="1" applyBorder="1" applyAlignment="1">
      <alignment horizontal="right"/>
    </xf>
    <xf numFmtId="0" fontId="66" fillId="0" borderId="3" xfId="0" applyFont="1" applyBorder="1"/>
    <xf numFmtId="164" fontId="62" fillId="0" borderId="4" xfId="1" applyNumberFormat="1" applyFont="1" applyBorder="1" applyAlignment="1">
      <alignment horizontal="right"/>
    </xf>
    <xf numFmtId="165" fontId="85" fillId="0" borderId="4" xfId="1" applyNumberFormat="1" applyFont="1" applyFill="1" applyBorder="1" applyAlignment="1">
      <alignment horizontal="right"/>
    </xf>
    <xf numFmtId="166" fontId="62" fillId="0" borderId="8" xfId="2" quotePrefix="1" applyNumberFormat="1" applyFont="1" applyFill="1" applyBorder="1" applyAlignment="1">
      <alignment horizontal="right"/>
    </xf>
    <xf numFmtId="166" fontId="4" fillId="0" borderId="0" xfId="2" applyNumberFormat="1" applyFont="1" applyAlignment="1">
      <alignment horizontal="right"/>
    </xf>
    <xf numFmtId="165" fontId="64" fillId="0" borderId="8" xfId="1" applyNumberFormat="1" applyFont="1" applyFill="1" applyBorder="1" applyAlignment="1">
      <alignment horizontal="right"/>
    </xf>
    <xf numFmtId="5" fontId="66" fillId="0" borderId="4" xfId="1" applyNumberFormat="1" applyFont="1" applyBorder="1" applyAlignment="1">
      <alignment horizontal="right"/>
    </xf>
    <xf numFmtId="43" fontId="62" fillId="0" borderId="0" xfId="1" quotePrefix="1" applyNumberFormat="1" applyFont="1" applyFill="1" applyBorder="1" applyAlignment="1">
      <alignment horizontal="right"/>
    </xf>
    <xf numFmtId="43" fontId="4" fillId="0" borderId="5" xfId="1" quotePrefix="1" applyNumberFormat="1" applyFont="1" applyFill="1" applyBorder="1" applyAlignment="1">
      <alignment horizontal="right"/>
    </xf>
    <xf numFmtId="166" fontId="62" fillId="10" borderId="33" xfId="2" quotePrefix="1" applyNumberFormat="1" applyFont="1" applyFill="1" applyBorder="1" applyAlignment="1">
      <alignment horizontal="right"/>
    </xf>
    <xf numFmtId="10" fontId="4" fillId="0" borderId="5" xfId="2" quotePrefix="1" applyNumberFormat="1" applyFont="1" applyFill="1" applyBorder="1" applyAlignment="1">
      <alignment horizontal="right"/>
    </xf>
    <xf numFmtId="165" fontId="62" fillId="0" borderId="4" xfId="1" applyNumberFormat="1" applyFont="1" applyFill="1" applyBorder="1" applyAlignment="1">
      <alignment horizontal="right"/>
    </xf>
    <xf numFmtId="165" fontId="62" fillId="0" borderId="4" xfId="1" applyNumberFormat="1" applyFont="1" applyBorder="1" applyAlignment="1">
      <alignment horizontal="right"/>
    </xf>
    <xf numFmtId="43" fontId="65" fillId="0" borderId="4" xfId="1" applyNumberFormat="1" applyFont="1" applyFill="1" applyBorder="1" applyAlignment="1">
      <alignment horizontal="right"/>
    </xf>
    <xf numFmtId="0" fontId="64" fillId="0" borderId="14" xfId="0" applyFont="1" applyFill="1" applyBorder="1"/>
    <xf numFmtId="5" fontId="64" fillId="0" borderId="15" xfId="1" applyNumberFormat="1" applyFont="1" applyBorder="1" applyAlignment="1">
      <alignment horizontal="right"/>
    </xf>
    <xf numFmtId="43" fontId="62" fillId="0" borderId="0" xfId="1" applyFont="1" applyFill="1" applyAlignment="1">
      <alignment horizontal="right"/>
    </xf>
    <xf numFmtId="43" fontId="62" fillId="0" borderId="0" xfId="1" applyFont="1" applyFill="1" applyAlignment="1">
      <alignment horizontal="left"/>
    </xf>
    <xf numFmtId="165" fontId="62" fillId="0" borderId="0" xfId="1" applyNumberFormat="1" applyFont="1" applyFill="1" applyAlignment="1">
      <alignment horizontal="right"/>
    </xf>
    <xf numFmtId="166" fontId="62" fillId="0" borderId="0" xfId="2" applyNumberFormat="1" applyFont="1" applyFill="1" applyAlignment="1">
      <alignment horizontal="right"/>
    </xf>
    <xf numFmtId="43" fontId="62" fillId="0" borderId="0" xfId="1" applyNumberFormat="1" applyFont="1" applyFill="1" applyAlignment="1">
      <alignment horizontal="right"/>
    </xf>
    <xf numFmtId="167" fontId="62" fillId="0" borderId="0" xfId="1" applyNumberFormat="1" applyFont="1" applyFill="1" applyAlignment="1">
      <alignment horizontal="right"/>
    </xf>
    <xf numFmtId="166" fontId="62" fillId="0" borderId="0" xfId="1" applyNumberFormat="1" applyFont="1" applyFill="1" applyAlignment="1">
      <alignment horizontal="right"/>
    </xf>
    <xf numFmtId="166" fontId="62" fillId="0" borderId="0" xfId="2" applyNumberFormat="1" applyFont="1"/>
    <xf numFmtId="229" fontId="62" fillId="10" borderId="4" xfId="1" applyNumberFormat="1" applyFont="1" applyFill="1" applyBorder="1" applyAlignment="1">
      <alignment horizontal="right"/>
    </xf>
    <xf numFmtId="0" fontId="64" fillId="0" borderId="3" xfId="0" applyFont="1" applyFill="1" applyBorder="1"/>
    <xf numFmtId="229" fontId="62" fillId="0" borderId="4" xfId="2" applyNumberFormat="1" applyFont="1" applyFill="1" applyBorder="1" applyAlignment="1">
      <alignment horizontal="right"/>
    </xf>
    <xf numFmtId="229" fontId="62" fillId="0" borderId="4" xfId="1" applyNumberFormat="1" applyFont="1" applyFill="1" applyBorder="1" applyAlignment="1">
      <alignment horizontal="right"/>
    </xf>
    <xf numFmtId="43" fontId="62" fillId="0" borderId="4" xfId="1" quotePrefix="1" applyNumberFormat="1" applyFont="1" applyBorder="1" applyAlignment="1">
      <alignment horizontal="right"/>
    </xf>
    <xf numFmtId="5" fontId="64" fillId="0" borderId="4" xfId="1" applyNumberFormat="1" applyFont="1" applyBorder="1" applyAlignment="1">
      <alignment horizontal="right"/>
    </xf>
    <xf numFmtId="0" fontId="64" fillId="0" borderId="25" xfId="0" applyFont="1" applyFill="1" applyBorder="1" applyAlignment="1">
      <alignment horizontal="left"/>
    </xf>
    <xf numFmtId="5" fontId="64" fillId="0" borderId="26" xfId="1" applyNumberFormat="1" applyFont="1" applyBorder="1" applyAlignment="1">
      <alignment horizontal="right"/>
    </xf>
    <xf numFmtId="0" fontId="64" fillId="0" borderId="1" xfId="0" applyFont="1" applyFill="1" applyBorder="1" applyAlignment="1">
      <alignment horizontal="left"/>
    </xf>
    <xf numFmtId="5" fontId="64" fillId="0" borderId="11" xfId="1" applyNumberFormat="1" applyFont="1" applyBorder="1" applyAlignment="1">
      <alignment horizontal="right"/>
    </xf>
    <xf numFmtId="0" fontId="62" fillId="0" borderId="1" xfId="0" applyFont="1" applyBorder="1"/>
    <xf numFmtId="5" fontId="62" fillId="0" borderId="4" xfId="1" applyNumberFormat="1" applyFont="1" applyFill="1" applyBorder="1" applyAlignment="1">
      <alignment horizontal="right"/>
    </xf>
    <xf numFmtId="0" fontId="62" fillId="0" borderId="14" xfId="0" applyFont="1" applyFill="1" applyBorder="1"/>
    <xf numFmtId="6" fontId="62" fillId="0" borderId="15" xfId="0" applyNumberFormat="1" applyFont="1" applyBorder="1"/>
    <xf numFmtId="10" fontId="62" fillId="10" borderId="11" xfId="1" applyNumberFormat="1" applyFont="1" applyFill="1" applyBorder="1" applyAlignment="1">
      <alignment horizontal="right"/>
    </xf>
    <xf numFmtId="10" fontId="62" fillId="10" borderId="4" xfId="2" applyNumberFormat="1" applyFont="1" applyFill="1" applyBorder="1" applyAlignment="1">
      <alignment horizontal="right"/>
    </xf>
    <xf numFmtId="7" fontId="62" fillId="0" borderId="4" xfId="1" applyNumberFormat="1" applyFont="1" applyFill="1" applyBorder="1" applyAlignment="1">
      <alignment horizontal="right"/>
    </xf>
    <xf numFmtId="230" fontId="64" fillId="0" borderId="0" xfId="2" applyNumberFormat="1" applyFont="1" applyFill="1" applyBorder="1" applyAlignment="1">
      <alignment horizontal="right"/>
    </xf>
    <xf numFmtId="166" fontId="0" fillId="12" borderId="46" xfId="2" applyNumberFormat="1" applyFont="1" applyFill="1" applyBorder="1" applyAlignment="1">
      <alignment horizontal="right" vertical="center"/>
    </xf>
    <xf numFmtId="166" fontId="0" fillId="12" borderId="47" xfId="2" applyNumberFormat="1" applyFont="1" applyFill="1" applyBorder="1" applyAlignment="1">
      <alignment horizontal="right" vertical="center"/>
    </xf>
    <xf numFmtId="166" fontId="0" fillId="12" borderId="48" xfId="2" applyNumberFormat="1" applyFont="1" applyFill="1" applyBorder="1" applyAlignment="1">
      <alignment horizontal="center" vertical="center"/>
    </xf>
    <xf numFmtId="166" fontId="0" fillId="12" borderId="49" xfId="2" applyNumberFormat="1" applyFont="1" applyFill="1" applyBorder="1" applyAlignment="1">
      <alignment horizontal="center" vertical="center"/>
    </xf>
    <xf numFmtId="166" fontId="0" fillId="12" borderId="60" xfId="2" applyNumberFormat="1" applyFont="1" applyFill="1" applyBorder="1" applyAlignment="1">
      <alignment horizontal="center" vertical="center"/>
    </xf>
    <xf numFmtId="166" fontId="0" fillId="12" borderId="62" xfId="2" applyNumberFormat="1" applyFont="1" applyFill="1" applyBorder="1" applyAlignment="1">
      <alignment horizontal="right" vertical="center"/>
    </xf>
    <xf numFmtId="166" fontId="0" fillId="12" borderId="63" xfId="2" applyNumberFormat="1" applyFont="1" applyFill="1" applyBorder="1" applyAlignment="1">
      <alignment horizontal="right" vertical="center"/>
    </xf>
    <xf numFmtId="166" fontId="0" fillId="12" borderId="68" xfId="2" applyNumberFormat="1" applyFont="1" applyFill="1" applyBorder="1" applyAlignment="1">
      <alignment horizontal="center" vertical="center"/>
    </xf>
    <xf numFmtId="166" fontId="0" fillId="12" borderId="70" xfId="2" applyNumberFormat="1" applyFont="1" applyFill="1" applyBorder="1" applyAlignment="1">
      <alignment horizontal="center" vertical="center"/>
    </xf>
    <xf numFmtId="166" fontId="0" fillId="12" borderId="70" xfId="2" applyNumberFormat="1" applyFont="1" applyFill="1" applyBorder="1" applyAlignment="1">
      <alignment horizontal="right" vertical="center"/>
    </xf>
    <xf numFmtId="7" fontId="0" fillId="0" borderId="50" xfId="0" applyNumberFormat="1" applyBorder="1" applyAlignment="1">
      <alignment horizontal="center"/>
    </xf>
    <xf numFmtId="7" fontId="0" fillId="0" borderId="55" xfId="0" applyNumberFormat="1" applyBorder="1" applyAlignment="1">
      <alignment horizontal="center"/>
    </xf>
    <xf numFmtId="7" fontId="0" fillId="0" borderId="51" xfId="0" applyNumberFormat="1" applyBorder="1" applyAlignment="1">
      <alignment horizontal="center"/>
    </xf>
    <xf numFmtId="7" fontId="0" fillId="0" borderId="57" xfId="0" applyNumberFormat="1" applyBorder="1" applyAlignment="1">
      <alignment horizontal="center"/>
    </xf>
    <xf numFmtId="7" fontId="0" fillId="0" borderId="54" xfId="0" applyNumberFormat="1" applyBorder="1" applyAlignment="1">
      <alignment horizontal="center"/>
    </xf>
    <xf numFmtId="7" fontId="0" fillId="0" borderId="56" xfId="0" applyNumberFormat="1" applyBorder="1" applyAlignment="1">
      <alignment horizontal="center"/>
    </xf>
    <xf numFmtId="7" fontId="0" fillId="0" borderId="58" xfId="0" applyNumberFormat="1" applyBorder="1" applyAlignment="1">
      <alignment horizontal="center"/>
    </xf>
    <xf numFmtId="7" fontId="0" fillId="0" borderId="70" xfId="0" applyNumberFormat="1" applyBorder="1" applyAlignment="1">
      <alignment horizontal="center"/>
    </xf>
    <xf numFmtId="7" fontId="0" fillId="0" borderId="64" xfId="0" applyNumberFormat="1" applyBorder="1" applyAlignment="1">
      <alignment horizontal="center"/>
    </xf>
    <xf numFmtId="7" fontId="0" fillId="0" borderId="65" xfId="0" applyNumberFormat="1" applyBorder="1" applyAlignment="1">
      <alignment horizontal="center"/>
    </xf>
    <xf numFmtId="7" fontId="0" fillId="0" borderId="66" xfId="0" applyNumberFormat="1" applyBorder="1" applyAlignment="1">
      <alignment horizontal="center"/>
    </xf>
    <xf numFmtId="7" fontId="0" fillId="0" borderId="67" xfId="0" applyNumberFormat="1" applyBorder="1" applyAlignment="1">
      <alignment horizontal="center"/>
    </xf>
    <xf numFmtId="7" fontId="0" fillId="0" borderId="52" xfId="0" applyNumberFormat="1" applyBorder="1" applyAlignment="1">
      <alignment horizontal="center"/>
    </xf>
    <xf numFmtId="7" fontId="0" fillId="0" borderId="59" xfId="0" applyNumberFormat="1" applyBorder="1" applyAlignment="1">
      <alignment horizontal="center"/>
    </xf>
    <xf numFmtId="7" fontId="0" fillId="0" borderId="53" xfId="0" applyNumberFormat="1" applyBorder="1" applyAlignment="1">
      <alignment horizontal="center"/>
    </xf>
    <xf numFmtId="7" fontId="0" fillId="0" borderId="61" xfId="0" applyNumberFormat="1" applyBorder="1" applyAlignment="1">
      <alignment horizontal="center"/>
    </xf>
    <xf numFmtId="0" fontId="0" fillId="0" borderId="0" xfId="0" applyBorder="1"/>
    <xf numFmtId="43" fontId="86" fillId="0" borderId="0" xfId="0" applyNumberFormat="1" applyFont="1" applyBorder="1"/>
    <xf numFmtId="166" fontId="0" fillId="12" borderId="75" xfId="2" applyNumberFormat="1" applyFont="1" applyFill="1" applyBorder="1" applyAlignment="1">
      <alignment horizontal="center" vertical="center"/>
    </xf>
    <xf numFmtId="7" fontId="0" fillId="0" borderId="77" xfId="0" applyNumberFormat="1" applyBorder="1" applyAlignment="1">
      <alignment horizontal="center"/>
    </xf>
    <xf numFmtId="7" fontId="0" fillId="0" borderId="79" xfId="0" applyNumberFormat="1" applyBorder="1" applyAlignment="1">
      <alignment horizontal="center"/>
    </xf>
    <xf numFmtId="7" fontId="0" fillId="0" borderId="80" xfId="0" applyNumberFormat="1" applyBorder="1" applyAlignment="1">
      <alignment horizontal="center"/>
    </xf>
    <xf numFmtId="9" fontId="62" fillId="12" borderId="5" xfId="2" quotePrefix="1" applyFont="1" applyFill="1" applyBorder="1" applyAlignment="1">
      <alignment horizontal="right"/>
    </xf>
    <xf numFmtId="0" fontId="86" fillId="0" borderId="0" xfId="0" applyFont="1"/>
    <xf numFmtId="165" fontId="62" fillId="13" borderId="0" xfId="1" applyNumberFormat="1" applyFont="1" applyFill="1" applyBorder="1" applyAlignment="1">
      <alignment horizontal="right"/>
    </xf>
    <xf numFmtId="165" fontId="62" fillId="13" borderId="5" xfId="1" applyNumberFormat="1" applyFont="1" applyFill="1" applyBorder="1" applyAlignment="1">
      <alignment horizontal="right"/>
    </xf>
    <xf numFmtId="0" fontId="4" fillId="13" borderId="0" xfId="0" applyFont="1" applyFill="1"/>
    <xf numFmtId="165" fontId="54" fillId="13" borderId="9" xfId="1" applyNumberFormat="1" applyFont="1" applyFill="1" applyBorder="1" applyAlignment="1">
      <alignment horizontal="right"/>
    </xf>
    <xf numFmtId="0" fontId="2" fillId="0" borderId="71" xfId="0" applyFont="1" applyBorder="1" applyAlignment="1">
      <alignment horizontal="center"/>
    </xf>
    <xf numFmtId="0" fontId="2" fillId="0" borderId="72" xfId="0" applyFont="1" applyBorder="1" applyAlignment="1">
      <alignment horizontal="center"/>
    </xf>
    <xf numFmtId="0" fontId="2" fillId="0" borderId="73" xfId="0" applyFont="1" applyBorder="1" applyAlignment="1">
      <alignment horizontal="center"/>
    </xf>
    <xf numFmtId="164" fontId="58" fillId="2" borderId="45" xfId="1" quotePrefix="1" applyNumberFormat="1" applyFont="1" applyFill="1" applyBorder="1" applyAlignment="1">
      <alignment horizontal="center" vertical="center" wrapText="1"/>
    </xf>
    <xf numFmtId="164" fontId="58" fillId="2" borderId="69" xfId="1" quotePrefix="1" applyNumberFormat="1" applyFont="1" applyFill="1" applyBorder="1" applyAlignment="1">
      <alignment horizontal="center" vertical="center" wrapText="1"/>
    </xf>
    <xf numFmtId="164" fontId="58" fillId="2" borderId="74" xfId="1" quotePrefix="1" applyNumberFormat="1" applyFont="1" applyFill="1" applyBorder="1" applyAlignment="1">
      <alignment horizontal="center" vertical="center" wrapText="1"/>
    </xf>
    <xf numFmtId="164" fontId="58" fillId="2" borderId="76" xfId="1" quotePrefix="1" applyNumberFormat="1" applyFont="1" applyFill="1" applyBorder="1" applyAlignment="1">
      <alignment horizontal="center" vertical="center" wrapText="1"/>
    </xf>
    <xf numFmtId="164" fontId="58" fillId="2" borderId="78" xfId="1" quotePrefix="1" applyNumberFormat="1" applyFont="1" applyFill="1" applyBorder="1" applyAlignment="1">
      <alignment horizontal="center" vertical="center" wrapText="1"/>
    </xf>
    <xf numFmtId="0" fontId="60" fillId="2" borderId="1" xfId="0" applyFont="1" applyFill="1" applyBorder="1" applyAlignment="1">
      <alignment horizontal="left"/>
    </xf>
    <xf numFmtId="0" fontId="60" fillId="2" borderId="2" xfId="0" applyFont="1" applyFill="1" applyBorder="1" applyAlignment="1">
      <alignment horizontal="left"/>
    </xf>
    <xf numFmtId="0" fontId="62" fillId="0" borderId="6" xfId="0" applyFont="1" applyBorder="1" applyAlignment="1">
      <alignment horizontal="left"/>
    </xf>
    <xf numFmtId="0" fontId="62" fillId="0" borderId="10" xfId="0" applyFont="1" applyBorder="1" applyAlignment="1">
      <alignment horizontal="left"/>
    </xf>
    <xf numFmtId="0" fontId="66" fillId="0" borderId="3" xfId="0" applyFont="1" applyBorder="1" applyAlignment="1">
      <alignment horizontal="left"/>
    </xf>
    <xf numFmtId="0" fontId="66" fillId="0" borderId="4" xfId="0" applyFont="1" applyBorder="1" applyAlignment="1">
      <alignment horizontal="left"/>
    </xf>
    <xf numFmtId="0" fontId="62" fillId="0" borderId="3" xfId="0" applyFont="1" applyBorder="1" applyAlignment="1">
      <alignment horizontal="left"/>
    </xf>
    <xf numFmtId="0" fontId="62" fillId="0" borderId="4" xfId="0" applyFont="1" applyBorder="1" applyAlignment="1">
      <alignment horizontal="left"/>
    </xf>
    <xf numFmtId="0" fontId="60" fillId="2" borderId="11" xfId="0" applyFont="1" applyFill="1" applyBorder="1" applyAlignment="1">
      <alignment horizontal="left"/>
    </xf>
    <xf numFmtId="0" fontId="61" fillId="2" borderId="3" xfId="0" applyFont="1" applyFill="1" applyBorder="1" applyAlignment="1">
      <alignment horizontal="left"/>
    </xf>
    <xf numFmtId="0" fontId="61" fillId="2" borderId="4" xfId="0" applyFont="1" applyFill="1" applyBorder="1" applyAlignment="1">
      <alignment horizontal="left"/>
    </xf>
    <xf numFmtId="0" fontId="62" fillId="12" borderId="3" xfId="0" applyFont="1" applyFill="1" applyBorder="1" applyAlignment="1">
      <alignment horizontal="left" indent="2"/>
    </xf>
    <xf numFmtId="0" fontId="62" fillId="12" borderId="4" xfId="0" applyFont="1" applyFill="1" applyBorder="1" applyAlignment="1">
      <alignment horizontal="left" indent="2"/>
    </xf>
    <xf numFmtId="0" fontId="64" fillId="0" borderId="14" xfId="0" applyFont="1" applyBorder="1" applyAlignment="1">
      <alignment horizontal="left" indent="1"/>
    </xf>
    <xf numFmtId="0" fontId="64" fillId="0" borderId="15" xfId="0" applyFont="1" applyBorder="1" applyAlignment="1">
      <alignment horizontal="left" indent="1"/>
    </xf>
    <xf numFmtId="0" fontId="62" fillId="0" borderId="6" xfId="0" applyFont="1" applyFill="1" applyBorder="1" applyAlignment="1">
      <alignment horizontal="left"/>
    </xf>
    <xf numFmtId="0" fontId="62" fillId="0" borderId="10" xfId="0" applyFont="1" applyFill="1" applyBorder="1" applyAlignment="1">
      <alignment horizontal="left"/>
    </xf>
    <xf numFmtId="0" fontId="62" fillId="0" borderId="3" xfId="0" applyFont="1" applyFill="1" applyBorder="1" applyAlignment="1">
      <alignment horizontal="left"/>
    </xf>
    <xf numFmtId="0" fontId="62" fillId="0" borderId="4" xfId="0" applyFont="1" applyFill="1" applyBorder="1" applyAlignment="1">
      <alignment horizontal="left"/>
    </xf>
    <xf numFmtId="0" fontId="64" fillId="12" borderId="3" xfId="0" applyFont="1" applyFill="1" applyBorder="1" applyAlignment="1">
      <alignment horizontal="left" indent="1"/>
    </xf>
    <xf numFmtId="0" fontId="64" fillId="12" borderId="4" xfId="0" applyFont="1" applyFill="1" applyBorder="1" applyAlignment="1">
      <alignment horizontal="left" indent="1"/>
    </xf>
    <xf numFmtId="0" fontId="62" fillId="12" borderId="3" xfId="0" applyFont="1" applyFill="1" applyBorder="1" applyAlignment="1">
      <alignment horizontal="left"/>
    </xf>
    <xf numFmtId="0" fontId="62" fillId="12" borderId="4" xfId="0" applyFont="1" applyFill="1" applyBorder="1" applyAlignment="1">
      <alignment horizontal="left"/>
    </xf>
    <xf numFmtId="0" fontId="66" fillId="12" borderId="27" xfId="0" applyFont="1" applyFill="1" applyBorder="1" applyAlignment="1">
      <alignment horizontal="left"/>
    </xf>
    <xf numFmtId="0" fontId="66" fillId="12" borderId="28" xfId="0" applyFont="1" applyFill="1" applyBorder="1" applyAlignment="1">
      <alignment horizontal="left"/>
    </xf>
    <xf numFmtId="0" fontId="66" fillId="12" borderId="3" xfId="0" applyFont="1" applyFill="1" applyBorder="1" applyAlignment="1">
      <alignment horizontal="left"/>
    </xf>
    <xf numFmtId="0" fontId="66" fillId="12" borderId="4" xfId="0" applyFont="1" applyFill="1" applyBorder="1" applyAlignment="1">
      <alignment horizontal="left"/>
    </xf>
    <xf numFmtId="0" fontId="66" fillId="0" borderId="35" xfId="0" applyFont="1" applyBorder="1" applyAlignment="1">
      <alignment horizontal="left"/>
    </xf>
    <xf numFmtId="0" fontId="66" fillId="0" borderId="36" xfId="0" applyFont="1" applyBorder="1" applyAlignment="1">
      <alignment horizontal="left"/>
    </xf>
    <xf numFmtId="0" fontId="62" fillId="0" borderId="14" xfId="0" applyFont="1" applyFill="1" applyBorder="1" applyAlignment="1">
      <alignment horizontal="left" indent="1"/>
    </xf>
    <xf numFmtId="0" fontId="62" fillId="0" borderId="15" xfId="0" applyFont="1" applyFill="1" applyBorder="1" applyAlignment="1">
      <alignment horizontal="left" indent="1"/>
    </xf>
    <xf numFmtId="0" fontId="62" fillId="12" borderId="3" xfId="0" applyFont="1" applyFill="1" applyBorder="1" applyAlignment="1">
      <alignment horizontal="left" indent="5"/>
    </xf>
    <xf numFmtId="0" fontId="62" fillId="12" borderId="4" xfId="0" applyFont="1" applyFill="1" applyBorder="1" applyAlignment="1">
      <alignment horizontal="left" indent="5"/>
    </xf>
    <xf numFmtId="0" fontId="62" fillId="12" borderId="14" xfId="0" applyFont="1" applyFill="1" applyBorder="1" applyAlignment="1">
      <alignment horizontal="left"/>
    </xf>
    <xf numFmtId="0" fontId="62" fillId="12" borderId="15" xfId="0" applyFont="1" applyFill="1" applyBorder="1" applyAlignment="1">
      <alignment horizontal="left"/>
    </xf>
    <xf numFmtId="0" fontId="62" fillId="10" borderId="1" xfId="0" applyFont="1" applyFill="1" applyBorder="1" applyAlignment="1">
      <alignment horizontal="left"/>
    </xf>
    <xf numFmtId="0" fontId="62" fillId="10" borderId="11" xfId="0" applyFont="1" applyFill="1" applyBorder="1" applyAlignment="1">
      <alignment horizontal="left"/>
    </xf>
    <xf numFmtId="0" fontId="62" fillId="11" borderId="3" xfId="0" applyFont="1" applyFill="1" applyBorder="1" applyAlignment="1">
      <alignment horizontal="left"/>
    </xf>
    <xf numFmtId="0" fontId="62" fillId="11" borderId="4" xfId="0" applyFont="1" applyFill="1" applyBorder="1" applyAlignment="1">
      <alignment horizontal="left"/>
    </xf>
    <xf numFmtId="0" fontId="62" fillId="9" borderId="6" xfId="0" applyFont="1" applyFill="1" applyBorder="1" applyAlignment="1">
      <alignment horizontal="left"/>
    </xf>
    <xf numFmtId="0" fontId="62" fillId="9" borderId="10" xfId="0" applyFont="1" applyFill="1" applyBorder="1" applyAlignment="1">
      <alignment horizontal="left"/>
    </xf>
    <xf numFmtId="0" fontId="64" fillId="0" borderId="3" xfId="0" applyFont="1" applyFill="1" applyBorder="1" applyAlignment="1">
      <alignment horizontal="left" indent="1"/>
    </xf>
    <xf numFmtId="0" fontId="64" fillId="0" borderId="4" xfId="0" applyFont="1" applyFill="1" applyBorder="1" applyAlignment="1">
      <alignment horizontal="left" indent="1"/>
    </xf>
    <xf numFmtId="0" fontId="64" fillId="0" borderId="3" xfId="0" applyFont="1" applyBorder="1" applyAlignment="1">
      <alignment horizontal="left"/>
    </xf>
    <xf numFmtId="0" fontId="64" fillId="0" borderId="4" xfId="0" applyFont="1" applyBorder="1" applyAlignment="1">
      <alignment horizontal="left"/>
    </xf>
    <xf numFmtId="0" fontId="62" fillId="0" borderId="3" xfId="0" applyFont="1" applyBorder="1" applyAlignment="1">
      <alignment horizontal="left" indent="2"/>
    </xf>
    <xf numFmtId="0" fontId="62" fillId="0" borderId="4" xfId="0" applyFont="1" applyBorder="1" applyAlignment="1">
      <alignment horizontal="left" indent="2"/>
    </xf>
    <xf numFmtId="0" fontId="62" fillId="0" borderId="27" xfId="0" applyFont="1" applyFill="1" applyBorder="1" applyAlignment="1">
      <alignment horizontal="left"/>
    </xf>
    <xf numFmtId="0" fontId="62" fillId="0" borderId="28" xfId="0" applyFont="1" applyFill="1" applyBorder="1" applyAlignment="1">
      <alignment horizontal="left"/>
    </xf>
    <xf numFmtId="0" fontId="62" fillId="12" borderId="3" xfId="3" applyFont="1" applyFill="1" applyBorder="1" applyAlignment="1">
      <alignment horizontal="left" vertical="top"/>
    </xf>
    <xf numFmtId="0" fontId="62" fillId="12" borderId="4" xfId="3" applyFont="1" applyFill="1" applyBorder="1" applyAlignment="1">
      <alignment horizontal="left" vertical="top"/>
    </xf>
    <xf numFmtId="0" fontId="64" fillId="0" borderId="3" xfId="0" applyFont="1" applyBorder="1" applyAlignment="1">
      <alignment horizontal="left" indent="2"/>
    </xf>
    <xf numFmtId="0" fontId="64" fillId="0" borderId="4" xfId="0" applyFont="1" applyBorder="1" applyAlignment="1">
      <alignment horizontal="left" indent="2"/>
    </xf>
    <xf numFmtId="0" fontId="64" fillId="0" borderId="3" xfId="3" applyFont="1" applyBorder="1" applyAlignment="1">
      <alignment horizontal="left" vertical="top" indent="2"/>
    </xf>
    <xf numFmtId="0" fontId="64" fillId="0" borderId="4" xfId="3" applyFont="1" applyBorder="1" applyAlignment="1">
      <alignment horizontal="left" vertical="top" indent="2"/>
    </xf>
    <xf numFmtId="0" fontId="62" fillId="0" borderId="3" xfId="3" applyFont="1" applyFill="1" applyBorder="1" applyAlignment="1">
      <alignment horizontal="left" vertical="top"/>
    </xf>
    <xf numFmtId="0" fontId="62" fillId="0" borderId="4" xfId="3" applyFont="1" applyFill="1" applyBorder="1" applyAlignment="1">
      <alignment horizontal="left" vertical="top"/>
    </xf>
    <xf numFmtId="0" fontId="4" fillId="12" borderId="3" xfId="0" applyFont="1" applyFill="1" applyBorder="1" applyAlignment="1">
      <alignment horizontal="left"/>
    </xf>
    <xf numFmtId="0" fontId="4" fillId="12" borderId="4" xfId="0" applyFont="1" applyFill="1" applyBorder="1" applyAlignment="1">
      <alignment horizontal="left"/>
    </xf>
    <xf numFmtId="0" fontId="62" fillId="0" borderId="29" xfId="0" applyFont="1" applyBorder="1" applyAlignment="1">
      <alignment horizontal="left" vertical="top" wrapText="1"/>
    </xf>
    <xf numFmtId="0" fontId="62" fillId="0" borderId="30" xfId="0" applyFont="1" applyBorder="1" applyAlignment="1">
      <alignment horizontal="left" vertical="top" wrapText="1"/>
    </xf>
    <xf numFmtId="0" fontId="82"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62" fillId="0" borderId="3" xfId="0" applyFont="1" applyFill="1" applyBorder="1" applyAlignment="1">
      <alignment horizontal="left" vertical="top" wrapText="1"/>
    </xf>
    <xf numFmtId="0" fontId="62" fillId="0" borderId="4" xfId="0" applyFont="1" applyFill="1" applyBorder="1" applyAlignment="1">
      <alignment horizontal="left" vertical="top" wrapText="1"/>
    </xf>
    <xf numFmtId="0" fontId="4" fillId="0" borderId="2" xfId="0" applyFont="1" applyFill="1" applyBorder="1" applyAlignment="1">
      <alignment horizontal="left"/>
    </xf>
    <xf numFmtId="0" fontId="62" fillId="12" borderId="27" xfId="0" applyFont="1" applyFill="1" applyBorder="1" applyAlignment="1">
      <alignment horizontal="left"/>
    </xf>
    <xf numFmtId="0" fontId="62" fillId="12" borderId="28" xfId="0" applyFont="1" applyFill="1" applyBorder="1" applyAlignment="1">
      <alignment horizontal="left"/>
    </xf>
    <xf numFmtId="0" fontId="62" fillId="0" borderId="6" xfId="0" applyFont="1" applyFill="1" applyBorder="1" applyAlignment="1">
      <alignment horizontal="left" vertical="top" wrapText="1"/>
    </xf>
    <xf numFmtId="0" fontId="62" fillId="0" borderId="10" xfId="0" applyFont="1" applyFill="1" applyBorder="1" applyAlignment="1">
      <alignment horizontal="left" vertical="top" wrapText="1"/>
    </xf>
    <xf numFmtId="0" fontId="62" fillId="0" borderId="12" xfId="0" applyFont="1" applyFill="1" applyBorder="1" applyAlignment="1">
      <alignment horizontal="left" vertical="top" wrapText="1"/>
    </xf>
    <xf numFmtId="0" fontId="62" fillId="0" borderId="13" xfId="0" applyFont="1" applyFill="1" applyBorder="1" applyAlignment="1">
      <alignment horizontal="left" vertical="top" wrapText="1"/>
    </xf>
    <xf numFmtId="0" fontId="62" fillId="0" borderId="27" xfId="0" applyFont="1" applyFill="1" applyBorder="1" applyAlignment="1">
      <alignment horizontal="left" vertical="top" wrapText="1"/>
    </xf>
    <xf numFmtId="0" fontId="62" fillId="0" borderId="28" xfId="0" applyFont="1" applyFill="1" applyBorder="1" applyAlignment="1">
      <alignment horizontal="left" vertical="top" wrapText="1"/>
    </xf>
    <xf numFmtId="0" fontId="62" fillId="0" borderId="25" xfId="0" applyFont="1" applyFill="1" applyBorder="1" applyAlignment="1">
      <alignment horizontal="left" vertical="top" wrapText="1"/>
    </xf>
    <xf numFmtId="0" fontId="62" fillId="0" borderId="26" xfId="0" applyFont="1" applyFill="1" applyBorder="1" applyAlignment="1">
      <alignment horizontal="left" vertical="top" wrapText="1"/>
    </xf>
    <xf numFmtId="0" fontId="66" fillId="0" borderId="27" xfId="0" applyFont="1" applyBorder="1" applyAlignment="1">
      <alignment horizontal="left"/>
    </xf>
    <xf numFmtId="0" fontId="66" fillId="0" borderId="28" xfId="0" applyFont="1" applyBorder="1" applyAlignment="1">
      <alignment horizontal="left"/>
    </xf>
    <xf numFmtId="0" fontId="61" fillId="0" borderId="42" xfId="0" applyFont="1" applyFill="1" applyBorder="1" applyAlignment="1">
      <alignment horizontal="center" wrapText="1"/>
    </xf>
    <xf numFmtId="0" fontId="61" fillId="0" borderId="5" xfId="0" applyFont="1" applyFill="1" applyBorder="1" applyAlignment="1">
      <alignment horizontal="center" wrapText="1"/>
    </xf>
    <xf numFmtId="0" fontId="64" fillId="0" borderId="3" xfId="0" applyFont="1" applyBorder="1" applyAlignment="1">
      <alignment horizontal="left" indent="1"/>
    </xf>
    <xf numFmtId="0" fontId="64" fillId="0" borderId="4" xfId="0" applyFont="1" applyBorder="1" applyAlignment="1">
      <alignment horizontal="left" indent="1"/>
    </xf>
    <xf numFmtId="0" fontId="64" fillId="0" borderId="6" xfId="0" applyFont="1" applyBorder="1" applyAlignment="1">
      <alignment horizontal="left" indent="2"/>
    </xf>
    <xf numFmtId="0" fontId="64" fillId="0" borderId="10" xfId="0" applyFont="1" applyBorder="1" applyAlignment="1">
      <alignment horizontal="left" indent="2"/>
    </xf>
  </cellXfs>
  <cellStyles count="330">
    <cellStyle name="_%(SignOnly)" xfId="6" xr:uid="{00000000-0005-0000-0000-000000000000}"/>
    <cellStyle name="_%(SignSpaceOnly)" xfId="7" xr:uid="{00000000-0005-0000-0000-000001000000}"/>
    <cellStyle name="_Comma" xfId="8" xr:uid="{00000000-0005-0000-0000-000002000000}"/>
    <cellStyle name="_Currency" xfId="9" xr:uid="{00000000-0005-0000-0000-000003000000}"/>
    <cellStyle name="_CurrencySpace" xfId="10" xr:uid="{00000000-0005-0000-0000-000004000000}"/>
    <cellStyle name="_Euro" xfId="11" xr:uid="{00000000-0005-0000-0000-000005000000}"/>
    <cellStyle name="_Heading" xfId="12" xr:uid="{00000000-0005-0000-0000-000006000000}"/>
    <cellStyle name="_Heading_prestemp" xfId="13" xr:uid="{00000000-0005-0000-0000-000007000000}"/>
    <cellStyle name="_Heading_prestemp_1st Qtr PL FY07" xfId="14" xr:uid="{00000000-0005-0000-0000-000008000000}"/>
    <cellStyle name="_Heading_prestemp_Financial Statements" xfId="15" xr:uid="{00000000-0005-0000-0000-000009000000}"/>
    <cellStyle name="_Heading_prestemp_Financial Statementsvs1" xfId="16" xr:uid="{00000000-0005-0000-0000-00000A000000}"/>
    <cellStyle name="_Highlight" xfId="17" xr:uid="{00000000-0005-0000-0000-00000B000000}"/>
    <cellStyle name="_Multiple" xfId="18" xr:uid="{00000000-0005-0000-0000-00000C000000}"/>
    <cellStyle name="_MultipleSpace" xfId="19" xr:uid="{00000000-0005-0000-0000-00000D000000}"/>
    <cellStyle name="_SubHeading" xfId="20" xr:uid="{00000000-0005-0000-0000-00000E000000}"/>
    <cellStyle name="_SubHeading_prestemp" xfId="21" xr:uid="{00000000-0005-0000-0000-00000F000000}"/>
    <cellStyle name="_SubHeading_prestemp_1st Qtr PL FY07" xfId="22" xr:uid="{00000000-0005-0000-0000-000010000000}"/>
    <cellStyle name="_SubHeading_prestemp_Financial Statements" xfId="23" xr:uid="{00000000-0005-0000-0000-000011000000}"/>
    <cellStyle name="_SubHeading_prestemp_Financial Statementsvs1" xfId="24" xr:uid="{00000000-0005-0000-0000-000012000000}"/>
    <cellStyle name="_Table" xfId="25" xr:uid="{00000000-0005-0000-0000-000013000000}"/>
    <cellStyle name="_TableHead" xfId="26" xr:uid="{00000000-0005-0000-0000-000014000000}"/>
    <cellStyle name="_TableRowHead" xfId="27" xr:uid="{00000000-0005-0000-0000-000015000000}"/>
    <cellStyle name="_TableSuperHead" xfId="28" xr:uid="{00000000-0005-0000-0000-000016000000}"/>
    <cellStyle name="=C:\WINNT\SYSTEM32\COMMAND.COM" xfId="29" xr:uid="{00000000-0005-0000-0000-000017000000}"/>
    <cellStyle name="=C:\WINNT\SYSTEM32\COMMAND.COM 2" xfId="30" xr:uid="{00000000-0005-0000-0000-000018000000}"/>
    <cellStyle name="6-0" xfId="31" xr:uid="{00000000-0005-0000-0000-000019000000}"/>
    <cellStyle name="Bold12" xfId="32" xr:uid="{00000000-0005-0000-0000-00001A000000}"/>
    <cellStyle name="BoldItal12" xfId="33" xr:uid="{00000000-0005-0000-0000-00001B000000}"/>
    <cellStyle name="Border" xfId="34" xr:uid="{00000000-0005-0000-0000-00001C000000}"/>
    <cellStyle name="Border 10" xfId="35" xr:uid="{00000000-0005-0000-0000-00001D000000}"/>
    <cellStyle name="Border 11" xfId="36" xr:uid="{00000000-0005-0000-0000-00001E000000}"/>
    <cellStyle name="Border 12" xfId="37" xr:uid="{00000000-0005-0000-0000-00001F000000}"/>
    <cellStyle name="Border 13" xfId="38" xr:uid="{00000000-0005-0000-0000-000020000000}"/>
    <cellStyle name="Border 14" xfId="39" xr:uid="{00000000-0005-0000-0000-000021000000}"/>
    <cellStyle name="Border 15" xfId="40" xr:uid="{00000000-0005-0000-0000-000022000000}"/>
    <cellStyle name="Border 16" xfId="41" xr:uid="{00000000-0005-0000-0000-000023000000}"/>
    <cellStyle name="Border 17" xfId="42" xr:uid="{00000000-0005-0000-0000-000024000000}"/>
    <cellStyle name="Border 18" xfId="43" xr:uid="{00000000-0005-0000-0000-000025000000}"/>
    <cellStyle name="Border 19" xfId="44" xr:uid="{00000000-0005-0000-0000-000026000000}"/>
    <cellStyle name="Border 2" xfId="45" xr:uid="{00000000-0005-0000-0000-000027000000}"/>
    <cellStyle name="Border 20" xfId="46" xr:uid="{00000000-0005-0000-0000-000028000000}"/>
    <cellStyle name="Border 21" xfId="47" xr:uid="{00000000-0005-0000-0000-000029000000}"/>
    <cellStyle name="Border 22" xfId="48" xr:uid="{00000000-0005-0000-0000-00002A000000}"/>
    <cellStyle name="Border 23" xfId="49" xr:uid="{00000000-0005-0000-0000-00002B000000}"/>
    <cellStyle name="Border 24" xfId="50" xr:uid="{00000000-0005-0000-0000-00002C000000}"/>
    <cellStyle name="Border 25" xfId="51" xr:uid="{00000000-0005-0000-0000-00002D000000}"/>
    <cellStyle name="Border 26" xfId="52" xr:uid="{00000000-0005-0000-0000-00002E000000}"/>
    <cellStyle name="Border 27" xfId="53" xr:uid="{00000000-0005-0000-0000-00002F000000}"/>
    <cellStyle name="Border 28" xfId="54" xr:uid="{00000000-0005-0000-0000-000030000000}"/>
    <cellStyle name="Border 29" xfId="55" xr:uid="{00000000-0005-0000-0000-000031000000}"/>
    <cellStyle name="Border 3" xfId="56" xr:uid="{00000000-0005-0000-0000-000032000000}"/>
    <cellStyle name="Border 30" xfId="57" xr:uid="{00000000-0005-0000-0000-000033000000}"/>
    <cellStyle name="Border 31" xfId="58" xr:uid="{00000000-0005-0000-0000-000034000000}"/>
    <cellStyle name="Border 32" xfId="59" xr:uid="{00000000-0005-0000-0000-000035000000}"/>
    <cellStyle name="Border 33" xfId="60" xr:uid="{00000000-0005-0000-0000-000036000000}"/>
    <cellStyle name="Border 34" xfId="61" xr:uid="{00000000-0005-0000-0000-000037000000}"/>
    <cellStyle name="Border 35" xfId="62" xr:uid="{00000000-0005-0000-0000-000038000000}"/>
    <cellStyle name="Border 36" xfId="63" xr:uid="{00000000-0005-0000-0000-000039000000}"/>
    <cellStyle name="Border 37" xfId="64" xr:uid="{00000000-0005-0000-0000-00003A000000}"/>
    <cellStyle name="Border 38" xfId="65" xr:uid="{00000000-0005-0000-0000-00003B000000}"/>
    <cellStyle name="Border 39" xfId="66" xr:uid="{00000000-0005-0000-0000-00003C000000}"/>
    <cellStyle name="Border 4" xfId="67" xr:uid="{00000000-0005-0000-0000-00003D000000}"/>
    <cellStyle name="Border 40" xfId="68" xr:uid="{00000000-0005-0000-0000-00003E000000}"/>
    <cellStyle name="Border 41" xfId="69" xr:uid="{00000000-0005-0000-0000-00003F000000}"/>
    <cellStyle name="Border 42" xfId="70" xr:uid="{00000000-0005-0000-0000-000040000000}"/>
    <cellStyle name="Border 5" xfId="71" xr:uid="{00000000-0005-0000-0000-000041000000}"/>
    <cellStyle name="Border 6" xfId="72" xr:uid="{00000000-0005-0000-0000-000042000000}"/>
    <cellStyle name="Border 7" xfId="73" xr:uid="{00000000-0005-0000-0000-000043000000}"/>
    <cellStyle name="Border 8" xfId="74" xr:uid="{00000000-0005-0000-0000-000044000000}"/>
    <cellStyle name="Border 9" xfId="75" xr:uid="{00000000-0005-0000-0000-000045000000}"/>
    <cellStyle name="Calc Currency (0)" xfId="76" xr:uid="{00000000-0005-0000-0000-000046000000}"/>
    <cellStyle name="Calc Currency (0) 2" xfId="77" xr:uid="{00000000-0005-0000-0000-000047000000}"/>
    <cellStyle name="Calc Currency (2)" xfId="78" xr:uid="{00000000-0005-0000-0000-000048000000}"/>
    <cellStyle name="Calc Currency (2) 2" xfId="79" xr:uid="{00000000-0005-0000-0000-000049000000}"/>
    <cellStyle name="Calc Percent (0)" xfId="80" xr:uid="{00000000-0005-0000-0000-00004A000000}"/>
    <cellStyle name="Calc Percent (0) 2" xfId="81" xr:uid="{00000000-0005-0000-0000-00004B000000}"/>
    <cellStyle name="Calc Percent (1)" xfId="82" xr:uid="{00000000-0005-0000-0000-00004C000000}"/>
    <cellStyle name="Calc Percent (1) 2" xfId="83" xr:uid="{00000000-0005-0000-0000-00004D000000}"/>
    <cellStyle name="Calc Percent (2)" xfId="84" xr:uid="{00000000-0005-0000-0000-00004E000000}"/>
    <cellStyle name="Calc Percent (2) 2" xfId="85" xr:uid="{00000000-0005-0000-0000-00004F000000}"/>
    <cellStyle name="Calc Units (0)" xfId="86" xr:uid="{00000000-0005-0000-0000-000050000000}"/>
    <cellStyle name="Calc Units (0) 2" xfId="87" xr:uid="{00000000-0005-0000-0000-000051000000}"/>
    <cellStyle name="Calc Units (1)" xfId="88" xr:uid="{00000000-0005-0000-0000-000052000000}"/>
    <cellStyle name="Calc Units (1) 2" xfId="89" xr:uid="{00000000-0005-0000-0000-000053000000}"/>
    <cellStyle name="Calc Units (2)" xfId="90" xr:uid="{00000000-0005-0000-0000-000054000000}"/>
    <cellStyle name="Calc Units (2) 2" xfId="91" xr:uid="{00000000-0005-0000-0000-000055000000}"/>
    <cellStyle name="Centered Heading" xfId="92" xr:uid="{00000000-0005-0000-0000-000056000000}"/>
    <cellStyle name="columns" xfId="93" xr:uid="{00000000-0005-0000-0000-000057000000}"/>
    <cellStyle name="Comma" xfId="1" builtinId="3"/>
    <cellStyle name="Comma  - Style1" xfId="94" xr:uid="{00000000-0005-0000-0000-000059000000}"/>
    <cellStyle name="Comma  - Style2" xfId="95" xr:uid="{00000000-0005-0000-0000-00005A000000}"/>
    <cellStyle name="Comma  - Style3" xfId="96" xr:uid="{00000000-0005-0000-0000-00005B000000}"/>
    <cellStyle name="Comma  - Style4" xfId="97" xr:uid="{00000000-0005-0000-0000-00005C000000}"/>
    <cellStyle name="Comma  - Style5" xfId="98" xr:uid="{00000000-0005-0000-0000-00005D000000}"/>
    <cellStyle name="Comma  - Style6" xfId="99" xr:uid="{00000000-0005-0000-0000-00005E000000}"/>
    <cellStyle name="Comma  - Style7" xfId="100" xr:uid="{00000000-0005-0000-0000-00005F000000}"/>
    <cellStyle name="Comma  - Style8" xfId="101" xr:uid="{00000000-0005-0000-0000-000060000000}"/>
    <cellStyle name="comma (0)" xfId="102" xr:uid="{00000000-0005-0000-0000-000061000000}"/>
    <cellStyle name="comma (0) 2" xfId="103" xr:uid="{00000000-0005-0000-0000-000062000000}"/>
    <cellStyle name="comma (0) 2 2" xfId="104" xr:uid="{00000000-0005-0000-0000-000063000000}"/>
    <cellStyle name="comma (0) 3" xfId="105" xr:uid="{00000000-0005-0000-0000-000064000000}"/>
    <cellStyle name="Comma [00]" xfId="106" xr:uid="{00000000-0005-0000-0000-000065000000}"/>
    <cellStyle name="Comma [00] 2" xfId="107" xr:uid="{00000000-0005-0000-0000-000066000000}"/>
    <cellStyle name="Comma 2" xfId="5" xr:uid="{00000000-0005-0000-0000-000067000000}"/>
    <cellStyle name="Comma 2 2" xfId="108" xr:uid="{00000000-0005-0000-0000-000068000000}"/>
    <cellStyle name="Comma 2 2 2" xfId="109" xr:uid="{00000000-0005-0000-0000-000069000000}"/>
    <cellStyle name="Comma 2 3" xfId="110" xr:uid="{00000000-0005-0000-0000-00006A000000}"/>
    <cellStyle name="Comma 2 4" xfId="111" xr:uid="{00000000-0005-0000-0000-00006B000000}"/>
    <cellStyle name="Comma 2 5" xfId="112" xr:uid="{00000000-0005-0000-0000-00006C000000}"/>
    <cellStyle name="Comma 2 6" xfId="113" xr:uid="{00000000-0005-0000-0000-00006D000000}"/>
    <cellStyle name="Comma 3" xfId="114" xr:uid="{00000000-0005-0000-0000-00006E000000}"/>
    <cellStyle name="Comma 3 2" xfId="115" xr:uid="{00000000-0005-0000-0000-00006F000000}"/>
    <cellStyle name="Comma 4" xfId="116" xr:uid="{00000000-0005-0000-0000-000070000000}"/>
    <cellStyle name="Comma 4 2" xfId="117" xr:uid="{00000000-0005-0000-0000-000071000000}"/>
    <cellStyle name="Comma 5" xfId="118" xr:uid="{00000000-0005-0000-0000-000072000000}"/>
    <cellStyle name="Comma 5 2" xfId="119" xr:uid="{00000000-0005-0000-0000-000073000000}"/>
    <cellStyle name="Comma Acctg" xfId="120" xr:uid="{00000000-0005-0000-0000-000074000000}"/>
    <cellStyle name="Comma Acctg 2" xfId="121" xr:uid="{00000000-0005-0000-0000-000075000000}"/>
    <cellStyle name="Comma0" xfId="122" xr:uid="{00000000-0005-0000-0000-000076000000}"/>
    <cellStyle name="Company Name" xfId="123" xr:uid="{00000000-0005-0000-0000-000077000000}"/>
    <cellStyle name="Contracts" xfId="124" xr:uid="{00000000-0005-0000-0000-000078000000}"/>
    <cellStyle name="CR Comma" xfId="125" xr:uid="{00000000-0005-0000-0000-000079000000}"/>
    <cellStyle name="CR Currency" xfId="126" xr:uid="{00000000-0005-0000-0000-00007A000000}"/>
    <cellStyle name="curr" xfId="127" xr:uid="{00000000-0005-0000-0000-00007B000000}"/>
    <cellStyle name="Currency [00]" xfId="128" xr:uid="{00000000-0005-0000-0000-00007C000000}"/>
    <cellStyle name="Currency [00] 2" xfId="129" xr:uid="{00000000-0005-0000-0000-00007D000000}"/>
    <cellStyle name="Currency 2" xfId="130" xr:uid="{00000000-0005-0000-0000-00007E000000}"/>
    <cellStyle name="Currency Acctg" xfId="131" xr:uid="{00000000-0005-0000-0000-00007F000000}"/>
    <cellStyle name="Currency0" xfId="132" xr:uid="{00000000-0005-0000-0000-000080000000}"/>
    <cellStyle name="Data" xfId="133" xr:uid="{00000000-0005-0000-0000-000081000000}"/>
    <cellStyle name="Date" xfId="134" xr:uid="{00000000-0005-0000-0000-000082000000}"/>
    <cellStyle name="Date Short" xfId="135" xr:uid="{00000000-0005-0000-0000-000083000000}"/>
    <cellStyle name="DateJoel" xfId="136" xr:uid="{00000000-0005-0000-0000-000084000000}"/>
    <cellStyle name="debbie" xfId="137" xr:uid="{00000000-0005-0000-0000-000085000000}"/>
    <cellStyle name="Dezimal [0]_laroux" xfId="138" xr:uid="{00000000-0005-0000-0000-000086000000}"/>
    <cellStyle name="Dezimal_laroux" xfId="139" xr:uid="{00000000-0005-0000-0000-000087000000}"/>
    <cellStyle name="Enter Currency (0)" xfId="140" xr:uid="{00000000-0005-0000-0000-000088000000}"/>
    <cellStyle name="Enter Currency (0) 2" xfId="141" xr:uid="{00000000-0005-0000-0000-000089000000}"/>
    <cellStyle name="Enter Currency (2)" xfId="142" xr:uid="{00000000-0005-0000-0000-00008A000000}"/>
    <cellStyle name="Enter Currency (2) 2" xfId="143" xr:uid="{00000000-0005-0000-0000-00008B000000}"/>
    <cellStyle name="Enter Units (0)" xfId="144" xr:uid="{00000000-0005-0000-0000-00008C000000}"/>
    <cellStyle name="Enter Units (0) 2" xfId="145" xr:uid="{00000000-0005-0000-0000-00008D000000}"/>
    <cellStyle name="Enter Units (1)" xfId="146" xr:uid="{00000000-0005-0000-0000-00008E000000}"/>
    <cellStyle name="Enter Units (1) 2" xfId="147" xr:uid="{00000000-0005-0000-0000-00008F000000}"/>
    <cellStyle name="Enter Units (2)" xfId="148" xr:uid="{00000000-0005-0000-0000-000090000000}"/>
    <cellStyle name="Enter Units (2) 2" xfId="149" xr:uid="{00000000-0005-0000-0000-000091000000}"/>
    <cellStyle name="eps" xfId="150" xr:uid="{00000000-0005-0000-0000-000092000000}"/>
    <cellStyle name="Euro" xfId="151" xr:uid="{00000000-0005-0000-0000-000093000000}"/>
    <cellStyle name="Grey" xfId="152" xr:uid="{00000000-0005-0000-0000-000094000000}"/>
    <cellStyle name="Header1" xfId="153" xr:uid="{00000000-0005-0000-0000-000095000000}"/>
    <cellStyle name="Header2" xfId="154" xr:uid="{00000000-0005-0000-0000-000096000000}"/>
    <cellStyle name="Header2 10" xfId="155" xr:uid="{00000000-0005-0000-0000-000097000000}"/>
    <cellStyle name="Header2 11" xfId="156" xr:uid="{00000000-0005-0000-0000-000098000000}"/>
    <cellStyle name="Header2 12" xfId="157" xr:uid="{00000000-0005-0000-0000-000099000000}"/>
    <cellStyle name="Header2 13" xfId="158" xr:uid="{00000000-0005-0000-0000-00009A000000}"/>
    <cellStyle name="Header2 14" xfId="159" xr:uid="{00000000-0005-0000-0000-00009B000000}"/>
    <cellStyle name="Header2 15" xfId="160" xr:uid="{00000000-0005-0000-0000-00009C000000}"/>
    <cellStyle name="Header2 16" xfId="161" xr:uid="{00000000-0005-0000-0000-00009D000000}"/>
    <cellStyle name="Header2 17" xfId="162" xr:uid="{00000000-0005-0000-0000-00009E000000}"/>
    <cellStyle name="Header2 18" xfId="163" xr:uid="{00000000-0005-0000-0000-00009F000000}"/>
    <cellStyle name="Header2 19" xfId="164" xr:uid="{00000000-0005-0000-0000-0000A0000000}"/>
    <cellStyle name="Header2 2" xfId="165" xr:uid="{00000000-0005-0000-0000-0000A1000000}"/>
    <cellStyle name="Header2 20" xfId="166" xr:uid="{00000000-0005-0000-0000-0000A2000000}"/>
    <cellStyle name="Header2 21" xfId="167" xr:uid="{00000000-0005-0000-0000-0000A3000000}"/>
    <cellStyle name="Header2 22" xfId="168" xr:uid="{00000000-0005-0000-0000-0000A4000000}"/>
    <cellStyle name="Header2 23" xfId="169" xr:uid="{00000000-0005-0000-0000-0000A5000000}"/>
    <cellStyle name="Header2 24" xfId="170" xr:uid="{00000000-0005-0000-0000-0000A6000000}"/>
    <cellStyle name="Header2 25" xfId="171" xr:uid="{00000000-0005-0000-0000-0000A7000000}"/>
    <cellStyle name="Header2 26" xfId="172" xr:uid="{00000000-0005-0000-0000-0000A8000000}"/>
    <cellStyle name="Header2 27" xfId="173" xr:uid="{00000000-0005-0000-0000-0000A9000000}"/>
    <cellStyle name="Header2 28" xfId="174" xr:uid="{00000000-0005-0000-0000-0000AA000000}"/>
    <cellStyle name="Header2 29" xfId="175" xr:uid="{00000000-0005-0000-0000-0000AB000000}"/>
    <cellStyle name="Header2 3" xfId="176" xr:uid="{00000000-0005-0000-0000-0000AC000000}"/>
    <cellStyle name="Header2 30" xfId="177" xr:uid="{00000000-0005-0000-0000-0000AD000000}"/>
    <cellStyle name="Header2 31" xfId="178" xr:uid="{00000000-0005-0000-0000-0000AE000000}"/>
    <cellStyle name="Header2 32" xfId="179" xr:uid="{00000000-0005-0000-0000-0000AF000000}"/>
    <cellStyle name="Header2 33" xfId="180" xr:uid="{00000000-0005-0000-0000-0000B0000000}"/>
    <cellStyle name="Header2 34" xfId="181" xr:uid="{00000000-0005-0000-0000-0000B1000000}"/>
    <cellStyle name="Header2 35" xfId="182" xr:uid="{00000000-0005-0000-0000-0000B2000000}"/>
    <cellStyle name="Header2 36" xfId="183" xr:uid="{00000000-0005-0000-0000-0000B3000000}"/>
    <cellStyle name="Header2 37" xfId="184" xr:uid="{00000000-0005-0000-0000-0000B4000000}"/>
    <cellStyle name="Header2 38" xfId="185" xr:uid="{00000000-0005-0000-0000-0000B5000000}"/>
    <cellStyle name="Header2 39" xfId="186" xr:uid="{00000000-0005-0000-0000-0000B6000000}"/>
    <cellStyle name="Header2 4" xfId="187" xr:uid="{00000000-0005-0000-0000-0000B7000000}"/>
    <cellStyle name="Header2 40" xfId="188" xr:uid="{00000000-0005-0000-0000-0000B8000000}"/>
    <cellStyle name="Header2 41" xfId="189" xr:uid="{00000000-0005-0000-0000-0000B9000000}"/>
    <cellStyle name="Header2 42" xfId="190" xr:uid="{00000000-0005-0000-0000-0000BA000000}"/>
    <cellStyle name="Header2 5" xfId="191" xr:uid="{00000000-0005-0000-0000-0000BB000000}"/>
    <cellStyle name="Header2 6" xfId="192" xr:uid="{00000000-0005-0000-0000-0000BC000000}"/>
    <cellStyle name="Header2 7" xfId="193" xr:uid="{00000000-0005-0000-0000-0000BD000000}"/>
    <cellStyle name="Header2 8" xfId="194" xr:uid="{00000000-0005-0000-0000-0000BE000000}"/>
    <cellStyle name="Header2 9" xfId="195" xr:uid="{00000000-0005-0000-0000-0000BF000000}"/>
    <cellStyle name="Heading" xfId="196" xr:uid="{00000000-0005-0000-0000-0000C0000000}"/>
    <cellStyle name="Heading 1 2" xfId="197" xr:uid="{00000000-0005-0000-0000-0000C1000000}"/>
    <cellStyle name="Heading 1 3" xfId="198" xr:uid="{00000000-0005-0000-0000-0000C2000000}"/>
    <cellStyle name="Heading 1 4" xfId="199" xr:uid="{00000000-0005-0000-0000-0000C3000000}"/>
    <cellStyle name="Heading 2 2" xfId="200" xr:uid="{00000000-0005-0000-0000-0000C4000000}"/>
    <cellStyle name="Heading 2 3" xfId="201" xr:uid="{00000000-0005-0000-0000-0000C5000000}"/>
    <cellStyle name="Heading 2 4" xfId="202" xr:uid="{00000000-0005-0000-0000-0000C6000000}"/>
    <cellStyle name="Heading No Underline" xfId="203" xr:uid="{00000000-0005-0000-0000-0000C7000000}"/>
    <cellStyle name="Heading With Underline" xfId="204" xr:uid="{00000000-0005-0000-0000-0000C8000000}"/>
    <cellStyle name="Hyperlink" xfId="329" builtinId="8"/>
    <cellStyle name="Hyperlink 2" xfId="205" xr:uid="{00000000-0005-0000-0000-0000CA000000}"/>
    <cellStyle name="Hyperlink 2 2" xfId="206" xr:uid="{00000000-0005-0000-0000-0000CB000000}"/>
    <cellStyle name="Hyperlink 2 2 2" xfId="207" xr:uid="{00000000-0005-0000-0000-0000CC000000}"/>
    <cellStyle name="Hyperlink 3" xfId="208" xr:uid="{00000000-0005-0000-0000-0000CD000000}"/>
    <cellStyle name="Hyperlink 4" xfId="209" xr:uid="{00000000-0005-0000-0000-0000CE000000}"/>
    <cellStyle name="Input [yellow]" xfId="210" xr:uid="{00000000-0005-0000-0000-0000CF000000}"/>
    <cellStyle name="Link Currency (0)" xfId="211" xr:uid="{00000000-0005-0000-0000-0000D0000000}"/>
    <cellStyle name="Link Currency (0) 2" xfId="212" xr:uid="{00000000-0005-0000-0000-0000D1000000}"/>
    <cellStyle name="Link Currency (2)" xfId="213" xr:uid="{00000000-0005-0000-0000-0000D2000000}"/>
    <cellStyle name="Link Currency (2) 2" xfId="214" xr:uid="{00000000-0005-0000-0000-0000D3000000}"/>
    <cellStyle name="Link Units (0)" xfId="215" xr:uid="{00000000-0005-0000-0000-0000D4000000}"/>
    <cellStyle name="Link Units (0) 2" xfId="216" xr:uid="{00000000-0005-0000-0000-0000D5000000}"/>
    <cellStyle name="Link Units (1)" xfId="217" xr:uid="{00000000-0005-0000-0000-0000D6000000}"/>
    <cellStyle name="Link Units (1) 2" xfId="218" xr:uid="{00000000-0005-0000-0000-0000D7000000}"/>
    <cellStyle name="Link Units (2)" xfId="219" xr:uid="{00000000-0005-0000-0000-0000D8000000}"/>
    <cellStyle name="Link Units (2) 2" xfId="220" xr:uid="{00000000-0005-0000-0000-0000D9000000}"/>
    <cellStyle name="Millares [0]_pldt" xfId="221" xr:uid="{00000000-0005-0000-0000-0000DA000000}"/>
    <cellStyle name="Millares_pldt" xfId="222" xr:uid="{00000000-0005-0000-0000-0000DB000000}"/>
    <cellStyle name="Milliers [0]_AR1194" xfId="223" xr:uid="{00000000-0005-0000-0000-0000DC000000}"/>
    <cellStyle name="Milliers_AR1194" xfId="224" xr:uid="{00000000-0005-0000-0000-0000DD000000}"/>
    <cellStyle name="Moneda [0]_pldt" xfId="225" xr:uid="{00000000-0005-0000-0000-0000DE000000}"/>
    <cellStyle name="Moneda_pldt" xfId="226" xr:uid="{00000000-0005-0000-0000-0000DF000000}"/>
    <cellStyle name="Monétaire [0]_AR1194" xfId="227" xr:uid="{00000000-0005-0000-0000-0000E0000000}"/>
    <cellStyle name="Monétaire_AR1194" xfId="228" xr:uid="{00000000-0005-0000-0000-0000E1000000}"/>
    <cellStyle name="negativ" xfId="229" xr:uid="{00000000-0005-0000-0000-0000E2000000}"/>
    <cellStyle name="no dec" xfId="230" xr:uid="{00000000-0005-0000-0000-0000E3000000}"/>
    <cellStyle name="nodollars" xfId="231" xr:uid="{00000000-0005-0000-0000-0000E4000000}"/>
    <cellStyle name="nodollars 2" xfId="232" xr:uid="{00000000-0005-0000-0000-0000E5000000}"/>
    <cellStyle name="Normal" xfId="0" builtinId="0"/>
    <cellStyle name="Normal - Style1" xfId="233" xr:uid="{00000000-0005-0000-0000-0000E7000000}"/>
    <cellStyle name="Normal - Style1 2" xfId="234" xr:uid="{00000000-0005-0000-0000-0000E8000000}"/>
    <cellStyle name="Normal - Style2" xfId="235" xr:uid="{00000000-0005-0000-0000-0000E9000000}"/>
    <cellStyle name="Normal - Style3" xfId="236" xr:uid="{00000000-0005-0000-0000-0000EA000000}"/>
    <cellStyle name="Normal - Style4" xfId="237" xr:uid="{00000000-0005-0000-0000-0000EB000000}"/>
    <cellStyle name="Normal - Style5" xfId="238" xr:uid="{00000000-0005-0000-0000-0000EC000000}"/>
    <cellStyle name="Normal 10" xfId="239" xr:uid="{00000000-0005-0000-0000-0000ED000000}"/>
    <cellStyle name="Normal 2" xfId="3" xr:uid="{00000000-0005-0000-0000-0000EE000000}"/>
    <cellStyle name="Normal 2 2" xfId="240" xr:uid="{00000000-0005-0000-0000-0000EF000000}"/>
    <cellStyle name="Normal 2 2 2" xfId="241" xr:uid="{00000000-0005-0000-0000-0000F0000000}"/>
    <cellStyle name="Normal 2 3" xfId="242" xr:uid="{00000000-0005-0000-0000-0000F1000000}"/>
    <cellStyle name="Normal 2 3 2" xfId="243" xr:uid="{00000000-0005-0000-0000-0000F2000000}"/>
    <cellStyle name="Normal 2 4" xfId="244" xr:uid="{00000000-0005-0000-0000-0000F3000000}"/>
    <cellStyle name="Normal 2 5" xfId="245" xr:uid="{00000000-0005-0000-0000-0000F4000000}"/>
    <cellStyle name="Normal 2 6" xfId="246" xr:uid="{00000000-0005-0000-0000-0000F5000000}"/>
    <cellStyle name="Normal 2 7" xfId="247" xr:uid="{00000000-0005-0000-0000-0000F6000000}"/>
    <cellStyle name="Normal 2 8" xfId="248" xr:uid="{00000000-0005-0000-0000-0000F7000000}"/>
    <cellStyle name="Normal 3" xfId="4" xr:uid="{00000000-0005-0000-0000-0000F8000000}"/>
    <cellStyle name="Normal 3 2" xfId="249" xr:uid="{00000000-0005-0000-0000-0000F9000000}"/>
    <cellStyle name="Normal 3 3" xfId="250" xr:uid="{00000000-0005-0000-0000-0000FA000000}"/>
    <cellStyle name="Normal 3 4" xfId="251" xr:uid="{00000000-0005-0000-0000-0000FB000000}"/>
    <cellStyle name="Normal 4" xfId="252" xr:uid="{00000000-0005-0000-0000-0000FC000000}"/>
    <cellStyle name="Normal 5" xfId="253" xr:uid="{00000000-0005-0000-0000-0000FD000000}"/>
    <cellStyle name="Normal 5 2" xfId="254" xr:uid="{00000000-0005-0000-0000-0000FE000000}"/>
    <cellStyle name="Normal 6" xfId="255" xr:uid="{00000000-0005-0000-0000-0000FF000000}"/>
    <cellStyle name="Normal 6 2" xfId="256" xr:uid="{00000000-0005-0000-0000-000000010000}"/>
    <cellStyle name="Normal 6 3" xfId="257" xr:uid="{00000000-0005-0000-0000-000001010000}"/>
    <cellStyle name="Normal 7" xfId="258" xr:uid="{00000000-0005-0000-0000-000002010000}"/>
    <cellStyle name="Normal 7 2" xfId="259" xr:uid="{00000000-0005-0000-0000-000003010000}"/>
    <cellStyle name="Normal 8" xfId="260" xr:uid="{00000000-0005-0000-0000-000004010000}"/>
    <cellStyle name="Normal 8 2" xfId="261" xr:uid="{00000000-0005-0000-0000-000005010000}"/>
    <cellStyle name="Normal 8 3" xfId="262" xr:uid="{00000000-0005-0000-0000-000006010000}"/>
    <cellStyle name="Normal 9" xfId="263" xr:uid="{00000000-0005-0000-0000-000007010000}"/>
    <cellStyle name="Number0DecimalStyle" xfId="264" xr:uid="{00000000-0005-0000-0000-000008010000}"/>
    <cellStyle name="Number0DecimalStyle 2" xfId="265" xr:uid="{00000000-0005-0000-0000-000009010000}"/>
    <cellStyle name="Number10DecimalStyle" xfId="266" xr:uid="{00000000-0005-0000-0000-00000A010000}"/>
    <cellStyle name="Number1DecimalStyle" xfId="267" xr:uid="{00000000-0005-0000-0000-00000B010000}"/>
    <cellStyle name="Number2DecimalStyle" xfId="268" xr:uid="{00000000-0005-0000-0000-00000C010000}"/>
    <cellStyle name="Number2DecimalStyle 2" xfId="269" xr:uid="{00000000-0005-0000-0000-00000D010000}"/>
    <cellStyle name="Number3DecimalStyle" xfId="270" xr:uid="{00000000-0005-0000-0000-00000E010000}"/>
    <cellStyle name="Number4DecimalStyle" xfId="271" xr:uid="{00000000-0005-0000-0000-00000F010000}"/>
    <cellStyle name="Number5DecimalStyle" xfId="272" xr:uid="{00000000-0005-0000-0000-000010010000}"/>
    <cellStyle name="Number6DecimalStyle" xfId="273" xr:uid="{00000000-0005-0000-0000-000011010000}"/>
    <cellStyle name="Number7DecimalStyle" xfId="274" xr:uid="{00000000-0005-0000-0000-000012010000}"/>
    <cellStyle name="Number8DecimalStyle" xfId="275" xr:uid="{00000000-0005-0000-0000-000013010000}"/>
    <cellStyle name="Number9DecimalStyle" xfId="276" xr:uid="{00000000-0005-0000-0000-000014010000}"/>
    <cellStyle name="over" xfId="277" xr:uid="{00000000-0005-0000-0000-000015010000}"/>
    <cellStyle name="Percent" xfId="2" builtinId="5"/>
    <cellStyle name="percent (0)" xfId="278" xr:uid="{00000000-0005-0000-0000-000017010000}"/>
    <cellStyle name="Percent [0]" xfId="279" xr:uid="{00000000-0005-0000-0000-000018010000}"/>
    <cellStyle name="Percent [0] 2" xfId="280" xr:uid="{00000000-0005-0000-0000-000019010000}"/>
    <cellStyle name="Percent [00]" xfId="281" xr:uid="{00000000-0005-0000-0000-00001A010000}"/>
    <cellStyle name="Percent [00] 2" xfId="282" xr:uid="{00000000-0005-0000-0000-00001B010000}"/>
    <cellStyle name="Percent [2]" xfId="283" xr:uid="{00000000-0005-0000-0000-00001C010000}"/>
    <cellStyle name="Percent 10" xfId="284" xr:uid="{00000000-0005-0000-0000-00001D010000}"/>
    <cellStyle name="Percent 2" xfId="285" xr:uid="{00000000-0005-0000-0000-00001E010000}"/>
    <cellStyle name="Percent 2 2" xfId="286" xr:uid="{00000000-0005-0000-0000-00001F010000}"/>
    <cellStyle name="Percent 2 3" xfId="287" xr:uid="{00000000-0005-0000-0000-000020010000}"/>
    <cellStyle name="Percent 2 4" xfId="288" xr:uid="{00000000-0005-0000-0000-000021010000}"/>
    <cellStyle name="Percent 3" xfId="289" xr:uid="{00000000-0005-0000-0000-000022010000}"/>
    <cellStyle name="Percent 3 2" xfId="290" xr:uid="{00000000-0005-0000-0000-000023010000}"/>
    <cellStyle name="Percent 4" xfId="291" xr:uid="{00000000-0005-0000-0000-000024010000}"/>
    <cellStyle name="Percent 6" xfId="292" xr:uid="{00000000-0005-0000-0000-000025010000}"/>
    <cellStyle name="PERCENTAGE" xfId="293" xr:uid="{00000000-0005-0000-0000-000026010000}"/>
    <cellStyle name="posit" xfId="294" xr:uid="{00000000-0005-0000-0000-000027010000}"/>
    <cellStyle name="Powerpoint Style" xfId="295" xr:uid="{00000000-0005-0000-0000-000028010000}"/>
    <cellStyle name="PrePop Currency (0)" xfId="296" xr:uid="{00000000-0005-0000-0000-000029010000}"/>
    <cellStyle name="PrePop Currency (0) 2" xfId="297" xr:uid="{00000000-0005-0000-0000-00002A010000}"/>
    <cellStyle name="PrePop Currency (2)" xfId="298" xr:uid="{00000000-0005-0000-0000-00002B010000}"/>
    <cellStyle name="PrePop Currency (2) 2" xfId="299" xr:uid="{00000000-0005-0000-0000-00002C010000}"/>
    <cellStyle name="PrePop Units (0)" xfId="300" xr:uid="{00000000-0005-0000-0000-00002D010000}"/>
    <cellStyle name="PrePop Units (0) 2" xfId="301" xr:uid="{00000000-0005-0000-0000-00002E010000}"/>
    <cellStyle name="PrePop Units (1)" xfId="302" xr:uid="{00000000-0005-0000-0000-00002F010000}"/>
    <cellStyle name="PrePop Units (1) 2" xfId="303" xr:uid="{00000000-0005-0000-0000-000030010000}"/>
    <cellStyle name="PrePop Units (2)" xfId="304" xr:uid="{00000000-0005-0000-0000-000031010000}"/>
    <cellStyle name="PrePop Units (2) 2" xfId="305" xr:uid="{00000000-0005-0000-0000-000032010000}"/>
    <cellStyle name="SingleTopDoubleBott" xfId="306" xr:uid="{00000000-0005-0000-0000-000033010000}"/>
    <cellStyle name="Standard_A" xfId="307" xr:uid="{00000000-0005-0000-0000-000034010000}"/>
    <cellStyle name="Style 1" xfId="308" xr:uid="{00000000-0005-0000-0000-000035010000}"/>
    <cellStyle name="Style 2" xfId="309" xr:uid="{00000000-0005-0000-0000-000036010000}"/>
    <cellStyle name="Style 3" xfId="310" xr:uid="{00000000-0005-0000-0000-000037010000}"/>
    <cellStyle name="Style 4" xfId="311" xr:uid="{00000000-0005-0000-0000-000038010000}"/>
    <cellStyle name="Text Indent A" xfId="312" xr:uid="{00000000-0005-0000-0000-000039010000}"/>
    <cellStyle name="Text Indent B" xfId="313" xr:uid="{00000000-0005-0000-0000-00003A010000}"/>
    <cellStyle name="Text Indent B 2" xfId="314" xr:uid="{00000000-0005-0000-0000-00003B010000}"/>
    <cellStyle name="Text Indent C" xfId="315" xr:uid="{00000000-0005-0000-0000-00003C010000}"/>
    <cellStyle name="Text Indent C 2" xfId="316" xr:uid="{00000000-0005-0000-0000-00003D010000}"/>
    <cellStyle name="TextStyle" xfId="317" xr:uid="{00000000-0005-0000-0000-00003E010000}"/>
    <cellStyle name="Tickmark" xfId="318" xr:uid="{00000000-0005-0000-0000-00003F010000}"/>
    <cellStyle name="TimStyle" xfId="319" xr:uid="{00000000-0005-0000-0000-000040010000}"/>
    <cellStyle name="Total 2" xfId="320" xr:uid="{00000000-0005-0000-0000-000041010000}"/>
    <cellStyle name="Total 3" xfId="321" xr:uid="{00000000-0005-0000-0000-000042010000}"/>
    <cellStyle name="Total 4" xfId="322" xr:uid="{00000000-0005-0000-0000-000043010000}"/>
    <cellStyle name="Underline" xfId="323" xr:uid="{00000000-0005-0000-0000-000044010000}"/>
    <cellStyle name="UnderlineDouble" xfId="324" xr:uid="{00000000-0005-0000-0000-000045010000}"/>
    <cellStyle name="Währung [0]_RESULTS" xfId="325" xr:uid="{00000000-0005-0000-0000-000046010000}"/>
    <cellStyle name="Währung_RESULTS" xfId="326" xr:uid="{00000000-0005-0000-0000-000047010000}"/>
    <cellStyle name="표준_BINV" xfId="327" xr:uid="{00000000-0005-0000-0000-000048010000}"/>
    <cellStyle name="標準_99B-05PE_IC2" xfId="328" xr:uid="{00000000-0005-0000-0000-00004901000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7B1-40DA-AF65-A59B5A4F6F80}"/>
            </c:ext>
          </c:extLst>
        </c:ser>
        <c:dLbls>
          <c:showLegendKey val="0"/>
          <c:showVal val="0"/>
          <c:showCatName val="0"/>
          <c:showSerName val="0"/>
          <c:showPercent val="0"/>
          <c:showBubbleSize val="0"/>
        </c:dLbls>
        <c:smooth val="0"/>
        <c:axId val="83449728"/>
        <c:axId val="132637440"/>
      </c:lineChart>
      <c:catAx>
        <c:axId val="8344972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32637440"/>
        <c:crosses val="autoZero"/>
        <c:auto val="1"/>
        <c:lblAlgn val="ctr"/>
        <c:lblOffset val="100"/>
        <c:tickLblSkip val="7"/>
        <c:noMultiLvlLbl val="1"/>
      </c:catAx>
      <c:valAx>
        <c:axId val="132637440"/>
        <c:scaling>
          <c:orientation val="minMax"/>
        </c:scaling>
        <c:delete val="0"/>
        <c:axPos val="l"/>
        <c:majorGridlines/>
        <c:numFmt formatCode="0.0\x" sourceLinked="0"/>
        <c:majorTickMark val="out"/>
        <c:minorTickMark val="none"/>
        <c:tickLblPos val="nextTo"/>
        <c:crossAx val="83449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1A1-432C-9629-C0B8399F17B9}"/>
            </c:ext>
          </c:extLst>
        </c:ser>
        <c:dLbls>
          <c:showLegendKey val="0"/>
          <c:showVal val="0"/>
          <c:showCatName val="0"/>
          <c:showSerName val="0"/>
          <c:showPercent val="0"/>
          <c:showBubbleSize val="0"/>
        </c:dLbls>
        <c:smooth val="0"/>
        <c:axId val="142949760"/>
        <c:axId val="142967936"/>
      </c:lineChart>
      <c:catAx>
        <c:axId val="142949760"/>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67936"/>
        <c:crosses val="autoZero"/>
        <c:auto val="1"/>
        <c:lblAlgn val="ctr"/>
        <c:lblOffset val="100"/>
        <c:tickLblSkip val="7"/>
        <c:noMultiLvlLbl val="1"/>
      </c:catAx>
      <c:valAx>
        <c:axId val="142967936"/>
        <c:scaling>
          <c:orientation val="minMax"/>
        </c:scaling>
        <c:delete val="0"/>
        <c:axPos val="l"/>
        <c:majorGridlines/>
        <c:numFmt formatCode="0.0\x" sourceLinked="0"/>
        <c:majorTickMark val="out"/>
        <c:minorTickMark val="none"/>
        <c:tickLblPos val="nextTo"/>
        <c:crossAx val="1429497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A3B3-4E7E-8C1B-5EC41782F9D8}"/>
            </c:ext>
          </c:extLst>
        </c:ser>
        <c:dLbls>
          <c:showLegendKey val="0"/>
          <c:showVal val="0"/>
          <c:showCatName val="0"/>
          <c:showSerName val="0"/>
          <c:showPercent val="0"/>
          <c:showBubbleSize val="0"/>
        </c:dLbls>
        <c:smooth val="0"/>
        <c:axId val="142977664"/>
        <c:axId val="142983552"/>
      </c:lineChart>
      <c:catAx>
        <c:axId val="142977664"/>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83552"/>
        <c:crosses val="autoZero"/>
        <c:auto val="1"/>
        <c:lblAlgn val="ctr"/>
        <c:lblOffset val="100"/>
        <c:tickLblSkip val="7"/>
        <c:noMultiLvlLbl val="1"/>
      </c:catAx>
      <c:valAx>
        <c:axId val="142983552"/>
        <c:scaling>
          <c:orientation val="minMax"/>
        </c:scaling>
        <c:delete val="0"/>
        <c:axPos val="l"/>
        <c:majorGridlines/>
        <c:numFmt formatCode="0.0\x" sourceLinked="0"/>
        <c:majorTickMark val="out"/>
        <c:minorTickMark val="none"/>
        <c:tickLblPos val="nextTo"/>
        <c:crossAx val="1429776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CA6E-4F65-ABFE-CF3C792E3A02}"/>
            </c:ext>
          </c:extLst>
        </c:ser>
        <c:dLbls>
          <c:showLegendKey val="0"/>
          <c:showVal val="0"/>
          <c:showCatName val="0"/>
          <c:showSerName val="0"/>
          <c:showPercent val="0"/>
          <c:showBubbleSize val="0"/>
        </c:dLbls>
        <c:smooth val="0"/>
        <c:axId val="142994432"/>
        <c:axId val="142996224"/>
      </c:lineChart>
      <c:catAx>
        <c:axId val="142994432"/>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96224"/>
        <c:crosses val="autoZero"/>
        <c:auto val="1"/>
        <c:lblAlgn val="ctr"/>
        <c:lblOffset val="100"/>
        <c:tickLblSkip val="7"/>
        <c:noMultiLvlLbl val="1"/>
      </c:catAx>
      <c:valAx>
        <c:axId val="142996224"/>
        <c:scaling>
          <c:orientation val="minMax"/>
        </c:scaling>
        <c:delete val="0"/>
        <c:axPos val="l"/>
        <c:majorGridlines/>
        <c:numFmt formatCode="0.0\x" sourceLinked="0"/>
        <c:majorTickMark val="out"/>
        <c:minorTickMark val="none"/>
        <c:tickLblPos val="nextTo"/>
        <c:crossAx val="142994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358D-4E3E-9B28-09F3A256DAA2}"/>
            </c:ext>
          </c:extLst>
        </c:ser>
        <c:dLbls>
          <c:showLegendKey val="0"/>
          <c:showVal val="0"/>
          <c:showCatName val="0"/>
          <c:showSerName val="0"/>
          <c:showPercent val="0"/>
          <c:showBubbleSize val="0"/>
        </c:dLbls>
        <c:smooth val="0"/>
        <c:axId val="145511168"/>
        <c:axId val="145512704"/>
      </c:lineChart>
      <c:catAx>
        <c:axId val="14551116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5512704"/>
        <c:crosses val="autoZero"/>
        <c:auto val="1"/>
        <c:lblAlgn val="ctr"/>
        <c:lblOffset val="100"/>
        <c:tickLblSkip val="7"/>
        <c:noMultiLvlLbl val="1"/>
      </c:catAx>
      <c:valAx>
        <c:axId val="145512704"/>
        <c:scaling>
          <c:orientation val="minMax"/>
        </c:scaling>
        <c:delete val="0"/>
        <c:axPos val="l"/>
        <c:majorGridlines/>
        <c:numFmt formatCode="0.0\x" sourceLinked="0"/>
        <c:majorTickMark val="out"/>
        <c:minorTickMark val="none"/>
        <c:tickLblPos val="nextTo"/>
        <c:crossAx val="1455111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236802</xdr:colOff>
      <xdr:row>241</xdr:row>
      <xdr:rowOff>0</xdr:rowOff>
    </xdr:from>
    <xdr:to>
      <xdr:col>6</xdr:col>
      <xdr:colOff>718343</xdr:colOff>
      <xdr:row>241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236802</xdr:colOff>
      <xdr:row>303</xdr:row>
      <xdr:rowOff>0</xdr:rowOff>
    </xdr:from>
    <xdr:to>
      <xdr:col>6</xdr:col>
      <xdr:colOff>718343</xdr:colOff>
      <xdr:row>303</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236802</xdr:colOff>
      <xdr:row>348</xdr:row>
      <xdr:rowOff>0</xdr:rowOff>
    </xdr:from>
    <xdr:to>
      <xdr:col>6</xdr:col>
      <xdr:colOff>718343</xdr:colOff>
      <xdr:row>348</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236802</xdr:colOff>
      <xdr:row>48</xdr:row>
      <xdr:rowOff>0</xdr:rowOff>
    </xdr:from>
    <xdr:to>
      <xdr:col>6</xdr:col>
      <xdr:colOff>718343</xdr:colOff>
      <xdr:row>48</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236802</xdr:colOff>
      <xdr:row>286</xdr:row>
      <xdr:rowOff>0</xdr:rowOff>
    </xdr:from>
    <xdr:to>
      <xdr:col>6</xdr:col>
      <xdr:colOff>718343</xdr:colOff>
      <xdr:row>286</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BV433"/>
  <sheetViews>
    <sheetView showGridLines="0" tabSelected="1" topLeftCell="A10" zoomScaleNormal="100" workbookViewId="0">
      <pane xSplit="3" ySplit="3" topLeftCell="D240" activePane="bottomRight" state="frozen"/>
      <selection activeCell="A10" sqref="A10"/>
      <selection pane="topRight" activeCell="D10" sqref="D10"/>
      <selection pane="bottomLeft" activeCell="A13" sqref="A13"/>
      <selection pane="bottomRight" activeCell="B241" sqref="B241:C241"/>
    </sheetView>
  </sheetViews>
  <sheetFormatPr defaultColWidth="8.85546875" defaultRowHeight="15" outlineLevelRow="2" outlineLevelCol="1" x14ac:dyDescent="0.25"/>
  <cols>
    <col min="1" max="1" width="2.28515625" style="2" customWidth="1"/>
    <col min="2" max="2" width="32.85546875" style="2" customWidth="1"/>
    <col min="3" max="3" width="19.7109375" style="2" customWidth="1"/>
    <col min="4" max="5" width="11.5703125" style="1" hidden="1" customWidth="1" outlineLevel="1"/>
    <col min="6" max="7" width="11.5703125" style="5" hidden="1" customWidth="1" outlineLevel="1"/>
    <col min="8" max="8" width="11.5703125" style="5" customWidth="1" collapsed="1"/>
    <col min="9" max="10" width="11.5703125" style="1" hidden="1" customWidth="1" outlineLevel="1"/>
    <col min="11" max="12" width="11.5703125" style="5" hidden="1" customWidth="1" outlineLevel="1"/>
    <col min="13" max="13" width="11.5703125" style="5" customWidth="1" collapsed="1"/>
    <col min="14" max="15" width="11.5703125" style="1" hidden="1" customWidth="1" outlineLevel="1"/>
    <col min="16" max="17" width="11.5703125" style="5" hidden="1" customWidth="1" outlineLevel="1"/>
    <col min="18" max="18" width="11.5703125" style="5" customWidth="1" collapsed="1"/>
    <col min="19" max="20" width="11.5703125" style="1" customWidth="1" outlineLevel="1"/>
    <col min="21" max="22" width="11.5703125" style="5" customWidth="1" outlineLevel="1"/>
    <col min="23" max="23" width="11.5703125" style="5" customWidth="1"/>
    <col min="24" max="25" width="11.5703125" style="1" customWidth="1" outlineLevel="1"/>
    <col min="26" max="27" width="11.5703125" style="5" customWidth="1" outlineLevel="1"/>
    <col min="28" max="28" width="11.5703125" style="5" customWidth="1"/>
    <col min="29" max="30" width="11.5703125" style="1" customWidth="1" outlineLevel="1"/>
    <col min="31" max="32" width="11.5703125" style="5" customWidth="1" outlineLevel="1"/>
    <col min="33" max="33" width="11.5703125" style="5" customWidth="1"/>
    <col min="34" max="35" width="11.5703125" style="1" customWidth="1" outlineLevel="1"/>
    <col min="36" max="37" width="11.5703125" style="5" customWidth="1" outlineLevel="1"/>
    <col min="38" max="38" width="11.5703125" style="5" customWidth="1"/>
    <col min="39" max="40" width="11.5703125" style="1" customWidth="1" outlineLevel="1"/>
    <col min="41" max="42" width="11.5703125" style="5" customWidth="1" outlineLevel="1"/>
    <col min="43" max="43" width="11.5703125" style="5" customWidth="1"/>
    <col min="44" max="16384" width="8.85546875" style="2"/>
  </cols>
  <sheetData>
    <row r="1" spans="1:74" ht="9" customHeight="1" x14ac:dyDescent="0.25"/>
    <row r="2" spans="1:74" ht="45" customHeight="1" x14ac:dyDescent="0.25">
      <c r="B2" s="591" t="s">
        <v>53</v>
      </c>
      <c r="C2" s="592"/>
      <c r="K2" s="6"/>
    </row>
    <row r="3" spans="1:74" x14ac:dyDescent="0.25">
      <c r="B3" s="567" t="s">
        <v>59</v>
      </c>
      <c r="C3" s="568"/>
      <c r="D3" s="7"/>
      <c r="G3" s="8"/>
      <c r="H3" s="8"/>
    </row>
    <row r="4" spans="1:74" x14ac:dyDescent="0.25">
      <c r="B4" s="569" t="s">
        <v>378</v>
      </c>
      <c r="C4" s="570"/>
      <c r="D4" s="7"/>
      <c r="G4" s="8"/>
      <c r="H4" s="8"/>
      <c r="BS4" s="2" t="s">
        <v>54</v>
      </c>
    </row>
    <row r="5" spans="1:74" x14ac:dyDescent="0.25">
      <c r="B5" s="571" t="s">
        <v>379</v>
      </c>
      <c r="C5" s="572"/>
      <c r="D5" s="9"/>
      <c r="E5" s="7"/>
      <c r="F5" s="7"/>
      <c r="G5" s="8"/>
      <c r="H5" s="8"/>
      <c r="I5" s="8"/>
      <c r="J5" s="8"/>
      <c r="K5" s="8"/>
      <c r="L5" s="8"/>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row>
    <row r="6" spans="1:74" ht="14.45" customHeight="1" x14ac:dyDescent="0.25">
      <c r="B6" s="476"/>
      <c r="C6" s="477"/>
      <c r="D6" s="7"/>
      <c r="E6" s="7"/>
      <c r="F6" s="7"/>
      <c r="G6" s="10"/>
      <c r="H6" s="10"/>
      <c r="I6" s="7"/>
      <c r="J6" s="7"/>
      <c r="K6" s="7"/>
      <c r="L6" s="11"/>
      <c r="M6" s="12"/>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row>
    <row r="7" spans="1:74" ht="14.45" customHeight="1" x14ac:dyDescent="0.25">
      <c r="B7" s="302"/>
      <c r="C7" s="450"/>
      <c r="D7" s="7"/>
      <c r="E7" s="7"/>
      <c r="F7" s="7"/>
      <c r="G7" s="11"/>
      <c r="H7" s="460"/>
      <c r="I7" s="460"/>
      <c r="J7" s="460"/>
      <c r="K7" s="460"/>
      <c r="L7" s="460"/>
      <c r="M7" s="460"/>
      <c r="N7" s="460"/>
      <c r="O7" s="460"/>
      <c r="P7" s="460"/>
      <c r="Q7" s="460"/>
      <c r="R7" s="460"/>
      <c r="S7" s="460"/>
      <c r="T7" s="461"/>
      <c r="U7" s="460"/>
      <c r="V7" s="460"/>
      <c r="W7" s="460"/>
      <c r="X7" s="460"/>
      <c r="Y7" s="460"/>
      <c r="Z7" s="460"/>
      <c r="AA7" s="460"/>
      <c r="AB7" s="460"/>
      <c r="AC7" s="460"/>
      <c r="AD7" s="460"/>
      <c r="AE7" s="460"/>
      <c r="AF7" s="460"/>
      <c r="AG7" s="460"/>
      <c r="AH7" s="460"/>
      <c r="AI7" s="460"/>
      <c r="AJ7" s="460"/>
      <c r="AK7" s="460"/>
      <c r="AL7" s="460"/>
      <c r="AM7" s="460"/>
      <c r="AN7" s="460"/>
      <c r="AO7" s="460"/>
      <c r="AP7" s="460"/>
      <c r="AQ7" s="463"/>
    </row>
    <row r="8" spans="1:74" ht="14.45" customHeight="1" x14ac:dyDescent="0.25">
      <c r="B8" s="302"/>
      <c r="C8" s="473"/>
      <c r="D8" s="7"/>
      <c r="E8" s="7"/>
      <c r="F8" s="13"/>
      <c r="G8" s="11"/>
      <c r="H8" s="460"/>
      <c r="I8" s="460"/>
      <c r="J8" s="460"/>
      <c r="K8" s="460"/>
      <c r="L8" s="460"/>
      <c r="M8" s="460"/>
      <c r="N8" s="460"/>
      <c r="O8" s="465"/>
      <c r="P8" s="460"/>
      <c r="Q8" s="460"/>
      <c r="R8" s="460"/>
      <c r="S8" s="462"/>
      <c r="T8" s="462"/>
      <c r="U8" s="462"/>
      <c r="V8" s="462"/>
      <c r="W8" s="462"/>
      <c r="X8" s="462"/>
      <c r="Y8" s="462"/>
      <c r="Z8" s="462"/>
      <c r="AA8" s="462"/>
      <c r="AB8" s="462"/>
      <c r="AC8" s="462"/>
      <c r="AD8" s="462"/>
      <c r="AE8" s="462"/>
      <c r="AF8" s="462"/>
      <c r="AG8" s="462"/>
      <c r="AH8" s="462"/>
      <c r="AI8" s="462"/>
      <c r="AJ8" s="462"/>
      <c r="AK8" s="462"/>
      <c r="AL8" s="462"/>
      <c r="AM8" s="462"/>
      <c r="AN8" s="462"/>
      <c r="AO8" s="462"/>
      <c r="AP8" s="462"/>
      <c r="AQ8" s="466"/>
    </row>
    <row r="9" spans="1:74" ht="14.45" customHeight="1" x14ac:dyDescent="0.25">
      <c r="B9" s="474"/>
      <c r="C9" s="475"/>
      <c r="D9" s="7"/>
      <c r="E9" s="7"/>
      <c r="F9" s="13"/>
      <c r="G9" s="11"/>
      <c r="H9" s="463"/>
      <c r="I9" s="463"/>
      <c r="J9" s="463"/>
      <c r="K9" s="463"/>
      <c r="L9" s="463"/>
      <c r="M9" s="463"/>
      <c r="N9" s="463"/>
      <c r="O9" s="463"/>
      <c r="P9" s="463"/>
      <c r="Q9" s="463"/>
      <c r="R9" s="463"/>
      <c r="S9" s="464"/>
      <c r="T9" s="464"/>
      <c r="U9" s="464"/>
      <c r="V9" s="464"/>
      <c r="W9" s="464"/>
      <c r="X9" s="464"/>
      <c r="Y9" s="464"/>
      <c r="Z9" s="464"/>
      <c r="AA9" s="464"/>
      <c r="AB9" s="463"/>
      <c r="AC9" s="463"/>
      <c r="AD9" s="463"/>
      <c r="AE9" s="463"/>
      <c r="AF9" s="463"/>
      <c r="AG9" s="463"/>
      <c r="AH9" s="463"/>
      <c r="AI9" s="463"/>
      <c r="AJ9" s="463"/>
      <c r="AK9" s="463"/>
      <c r="AL9" s="463"/>
      <c r="AM9" s="463"/>
      <c r="AN9" s="463"/>
      <c r="AO9" s="463"/>
      <c r="AP9" s="463"/>
      <c r="AQ9" s="463"/>
    </row>
    <row r="10" spans="1:74" ht="3.75" customHeight="1" x14ac:dyDescent="0.25">
      <c r="D10" s="15"/>
      <c r="E10" s="15"/>
      <c r="F10" s="15"/>
      <c r="G10" s="15"/>
      <c r="H10" s="16"/>
      <c r="I10" s="15"/>
      <c r="J10" s="15"/>
      <c r="K10" s="15"/>
      <c r="L10" s="11"/>
      <c r="M10" s="11"/>
      <c r="N10" s="15"/>
      <c r="O10" s="17"/>
      <c r="P10" s="15"/>
      <c r="Q10" s="11"/>
      <c r="R10" s="11"/>
      <c r="S10" s="15"/>
      <c r="T10" s="15"/>
      <c r="U10" s="15"/>
      <c r="V10" s="11"/>
      <c r="W10" s="7"/>
      <c r="X10" s="48"/>
      <c r="Y10" s="48"/>
      <c r="Z10" s="48"/>
      <c r="AA10" s="7"/>
      <c r="AB10" s="7"/>
      <c r="AC10" s="48"/>
      <c r="AD10" s="48"/>
      <c r="AE10" s="48"/>
      <c r="AF10" s="7"/>
      <c r="AG10" s="7"/>
      <c r="AH10" s="48"/>
      <c r="AI10" s="48"/>
      <c r="AJ10" s="48"/>
      <c r="AK10" s="7"/>
      <c r="AL10" s="7"/>
      <c r="AM10" s="48"/>
      <c r="AN10" s="48"/>
      <c r="AO10" s="48"/>
      <c r="AP10" s="7"/>
      <c r="AQ10" s="7"/>
    </row>
    <row r="11" spans="1:74" ht="15.75" x14ac:dyDescent="0.25">
      <c r="A11" s="610"/>
      <c r="B11" s="532" t="s">
        <v>78</v>
      </c>
      <c r="C11" s="540"/>
      <c r="D11" s="67" t="s">
        <v>88</v>
      </c>
      <c r="E11" s="67" t="s">
        <v>89</v>
      </c>
      <c r="F11" s="67" t="s">
        <v>90</v>
      </c>
      <c r="G11" s="67" t="s">
        <v>91</v>
      </c>
      <c r="H11" s="403" t="s">
        <v>91</v>
      </c>
      <c r="I11" s="67" t="s">
        <v>92</v>
      </c>
      <c r="J11" s="67" t="s">
        <v>93</v>
      </c>
      <c r="K11" s="67" t="s">
        <v>94</v>
      </c>
      <c r="L11" s="67" t="s">
        <v>95</v>
      </c>
      <c r="M11" s="403" t="s">
        <v>95</v>
      </c>
      <c r="N11" s="67" t="s">
        <v>96</v>
      </c>
      <c r="O11" s="67" t="s">
        <v>97</v>
      </c>
      <c r="P11" s="67" t="s">
        <v>98</v>
      </c>
      <c r="Q11" s="67" t="s">
        <v>99</v>
      </c>
      <c r="R11" s="403" t="s">
        <v>99</v>
      </c>
      <c r="S11" s="69" t="s">
        <v>100</v>
      </c>
      <c r="T11" s="69" t="s">
        <v>101</v>
      </c>
      <c r="U11" s="69" t="s">
        <v>102</v>
      </c>
      <c r="V11" s="69" t="s">
        <v>103</v>
      </c>
      <c r="W11" s="407" t="s">
        <v>103</v>
      </c>
      <c r="X11" s="69" t="s">
        <v>104</v>
      </c>
      <c r="Y11" s="69" t="s">
        <v>105</v>
      </c>
      <c r="Z11" s="69" t="s">
        <v>106</v>
      </c>
      <c r="AA11" s="69" t="s">
        <v>107</v>
      </c>
      <c r="AB11" s="407" t="s">
        <v>107</v>
      </c>
      <c r="AC11" s="69" t="s">
        <v>108</v>
      </c>
      <c r="AD11" s="69" t="s">
        <v>109</v>
      </c>
      <c r="AE11" s="69" t="s">
        <v>110</v>
      </c>
      <c r="AF11" s="69" t="s">
        <v>111</v>
      </c>
      <c r="AG11" s="407" t="s">
        <v>111</v>
      </c>
      <c r="AH11" s="69" t="s">
        <v>112</v>
      </c>
      <c r="AI11" s="69" t="s">
        <v>113</v>
      </c>
      <c r="AJ11" s="69" t="s">
        <v>114</v>
      </c>
      <c r="AK11" s="69" t="s">
        <v>115</v>
      </c>
      <c r="AL11" s="407" t="s">
        <v>115</v>
      </c>
      <c r="AM11" s="69" t="s">
        <v>116</v>
      </c>
      <c r="AN11" s="69" t="s">
        <v>117</v>
      </c>
      <c r="AO11" s="69" t="s">
        <v>118</v>
      </c>
      <c r="AP11" s="69" t="s">
        <v>119</v>
      </c>
      <c r="AQ11" s="407" t="s">
        <v>119</v>
      </c>
    </row>
    <row r="12" spans="1:74" ht="17.45" customHeight="1" x14ac:dyDescent="0.4">
      <c r="A12" s="611"/>
      <c r="B12" s="541" t="s">
        <v>3</v>
      </c>
      <c r="C12" s="542"/>
      <c r="D12" s="68" t="s">
        <v>52</v>
      </c>
      <c r="E12" s="68" t="s">
        <v>55</v>
      </c>
      <c r="F12" s="68" t="s">
        <v>56</v>
      </c>
      <c r="G12" s="68" t="s">
        <v>60</v>
      </c>
      <c r="H12" s="404" t="s">
        <v>61</v>
      </c>
      <c r="I12" s="68" t="s">
        <v>62</v>
      </c>
      <c r="J12" s="68" t="s">
        <v>73</v>
      </c>
      <c r="K12" s="68" t="s">
        <v>77</v>
      </c>
      <c r="L12" s="68" t="s">
        <v>81</v>
      </c>
      <c r="M12" s="404" t="s">
        <v>82</v>
      </c>
      <c r="N12" s="68" t="s">
        <v>83</v>
      </c>
      <c r="O12" s="68" t="s">
        <v>84</v>
      </c>
      <c r="P12" s="68" t="s">
        <v>85</v>
      </c>
      <c r="Q12" s="68" t="s">
        <v>86</v>
      </c>
      <c r="R12" s="404" t="s">
        <v>87</v>
      </c>
      <c r="S12" s="66" t="s">
        <v>344</v>
      </c>
      <c r="T12" s="66" t="s">
        <v>345</v>
      </c>
      <c r="U12" s="66" t="s">
        <v>346</v>
      </c>
      <c r="V12" s="66" t="s">
        <v>347</v>
      </c>
      <c r="W12" s="408" t="s">
        <v>348</v>
      </c>
      <c r="X12" s="66" t="s">
        <v>349</v>
      </c>
      <c r="Y12" s="66" t="s">
        <v>350</v>
      </c>
      <c r="Z12" s="66" t="s">
        <v>351</v>
      </c>
      <c r="AA12" s="66" t="s">
        <v>352</v>
      </c>
      <c r="AB12" s="408" t="s">
        <v>353</v>
      </c>
      <c r="AC12" s="66" t="s">
        <v>354</v>
      </c>
      <c r="AD12" s="66" t="s">
        <v>355</v>
      </c>
      <c r="AE12" s="66" t="s">
        <v>356</v>
      </c>
      <c r="AF12" s="66" t="s">
        <v>357</v>
      </c>
      <c r="AG12" s="408" t="s">
        <v>358</v>
      </c>
      <c r="AH12" s="66" t="s">
        <v>359</v>
      </c>
      <c r="AI12" s="66" t="s">
        <v>360</v>
      </c>
      <c r="AJ12" s="66" t="s">
        <v>361</v>
      </c>
      <c r="AK12" s="66" t="s">
        <v>362</v>
      </c>
      <c r="AL12" s="408" t="s">
        <v>363</v>
      </c>
      <c r="AM12" s="66" t="s">
        <v>364</v>
      </c>
      <c r="AN12" s="66" t="s">
        <v>365</v>
      </c>
      <c r="AO12" s="66" t="s">
        <v>366</v>
      </c>
      <c r="AP12" s="66" t="s">
        <v>367</v>
      </c>
      <c r="AQ12" s="408" t="s">
        <v>368</v>
      </c>
    </row>
    <row r="13" spans="1:74" x14ac:dyDescent="0.25">
      <c r="B13" s="538" t="s">
        <v>120</v>
      </c>
      <c r="C13" s="539"/>
      <c r="D13" s="77">
        <v>12279</v>
      </c>
      <c r="E13" s="77">
        <v>12453</v>
      </c>
      <c r="F13" s="77">
        <v>12654</v>
      </c>
      <c r="G13" s="77">
        <v>12979</v>
      </c>
      <c r="H13" s="89">
        <f>SUM(D13:G13)</f>
        <v>50365</v>
      </c>
      <c r="I13" s="77">
        <v>14663</v>
      </c>
      <c r="J13" s="77">
        <v>14931</v>
      </c>
      <c r="K13" s="77">
        <v>14997</v>
      </c>
      <c r="L13" s="77">
        <v>15728</v>
      </c>
      <c r="M13" s="89">
        <f>SUM(I13:L13)</f>
        <v>60319</v>
      </c>
      <c r="N13" s="77">
        <v>15297</v>
      </c>
      <c r="O13" s="77">
        <v>16313</v>
      </c>
      <c r="P13" s="77">
        <v>16526</v>
      </c>
      <c r="Q13" s="77">
        <f>Q53+Q56+Q57+Q142+Q159+Q168+Q171</f>
        <v>17314.125785999997</v>
      </c>
      <c r="R13" s="89">
        <f>SUM(N13:Q13)</f>
        <v>65450.125785999997</v>
      </c>
      <c r="S13" s="77">
        <f>S53+S56+S57+S142+S159+S168+S171</f>
        <v>16592.683765308331</v>
      </c>
      <c r="T13" s="77">
        <f>T53+T56+T57+T142+T159+T168+T171</f>
        <v>17825.452190551194</v>
      </c>
      <c r="U13" s="77">
        <f>U53+U56+U57+U142+U159+U168+U171</f>
        <v>18100.955604302893</v>
      </c>
      <c r="V13" s="77">
        <f>V53+V56+V57+V142+V159+V168+V171</f>
        <v>18932.14597677394</v>
      </c>
      <c r="W13" s="71">
        <f>SUM(S13:V13)</f>
        <v>71451.237536936358</v>
      </c>
      <c r="X13" s="77">
        <f>X53+X56+X57+X142+X159+X168+X171</f>
        <v>18127.805468256109</v>
      </c>
      <c r="Y13" s="77">
        <f>Y53+Y56+Y57+Y142+Y159+Y168+Y171</f>
        <v>19520.583034201358</v>
      </c>
      <c r="Z13" s="77">
        <f>Z53+Z56+Z57+Z142+Z159+Z168+Z171</f>
        <v>19825.833296585712</v>
      </c>
      <c r="AA13" s="77">
        <f>AA53+AA56+AA57+AA142+AA159+AA168+AA171</f>
        <v>20738.324321241373</v>
      </c>
      <c r="AB13" s="71">
        <f>SUM(X13:AA13)</f>
        <v>78212.546120284562</v>
      </c>
      <c r="AC13" s="77">
        <f>AC53+AC56+AC57+AC142+AC159+AC168+AC171</f>
        <v>19855.256407892637</v>
      </c>
      <c r="AD13" s="77">
        <f>AD53+AD56+AD57+AD142+AD159+AD168+AD171</f>
        <v>21405.599395984435</v>
      </c>
      <c r="AE13" s="77">
        <f>AE53+AE56+AE57+AE142+AE159+AE168+AE171</f>
        <v>21742.922063862086</v>
      </c>
      <c r="AF13" s="77">
        <f>AF53+AF56+AF57+AF142+AF159+AF168+AF171</f>
        <v>22755.290306197552</v>
      </c>
      <c r="AG13" s="71">
        <f>SUM(AC13:AF13)</f>
        <v>85759.068173936714</v>
      </c>
      <c r="AH13" s="77">
        <f>AH53+AH56+AH57+AH142+AH159+AH168+AH171</f>
        <v>21784.012036847918</v>
      </c>
      <c r="AI13" s="77">
        <f>AI53+AI56+AI57+AI142+AI159+AI168+AI171</f>
        <v>23506.946598943174</v>
      </c>
      <c r="AJ13" s="77">
        <f>AJ53+AJ56+AJ57+AJ142+AJ159+AJ168+AJ171</f>
        <v>23880.643547358784</v>
      </c>
      <c r="AK13" s="77">
        <f>AK53+AK56+AK57+AK142+AK159+AK168+AK171</f>
        <v>25006.990509067535</v>
      </c>
      <c r="AL13" s="71">
        <f>SUM(AH13:AK13)</f>
        <v>94178.592692217397</v>
      </c>
      <c r="AM13" s="77">
        <f>AM53+AM56+AM57+AM142+AM159+AM168+AM171</f>
        <v>23936.209443897827</v>
      </c>
      <c r="AN13" s="77">
        <f>AN53+AN56+AN57+AN142+AN159+AN168+AN171</f>
        <v>25852.225891728354</v>
      </c>
      <c r="AO13" s="77">
        <f>AO53+AO56+AO57+AO142+AO159+AO168+AO171</f>
        <v>26266.435396724948</v>
      </c>
      <c r="AP13" s="77">
        <f>AP53+AP56+AP57+AP142+AP159+AP168+AP171</f>
        <v>27521.496213269871</v>
      </c>
      <c r="AQ13" s="71">
        <f>SUM(AM13:AP13)</f>
        <v>103576.366945621</v>
      </c>
    </row>
    <row r="14" spans="1:74" x14ac:dyDescent="0.25">
      <c r="B14" s="72" t="s">
        <v>121</v>
      </c>
      <c r="C14" s="288"/>
      <c r="D14" s="18"/>
      <c r="E14" s="18"/>
      <c r="F14" s="18"/>
      <c r="G14" s="18"/>
      <c r="H14" s="89"/>
      <c r="I14" s="18"/>
      <c r="J14" s="18"/>
      <c r="K14" s="18"/>
      <c r="L14" s="18"/>
      <c r="M14" s="89"/>
      <c r="N14" s="18"/>
      <c r="O14" s="18"/>
      <c r="P14" s="18"/>
      <c r="Q14" s="35"/>
      <c r="R14" s="31"/>
      <c r="S14" s="26"/>
      <c r="T14" s="116"/>
      <c r="U14" s="116"/>
      <c r="V14" s="116"/>
      <c r="W14" s="421"/>
      <c r="X14" s="116"/>
      <c r="Y14" s="116"/>
      <c r="Z14" s="116"/>
      <c r="AA14" s="116"/>
      <c r="AB14" s="71"/>
      <c r="AC14" s="116"/>
      <c r="AD14" s="116"/>
      <c r="AE14" s="116"/>
      <c r="AF14" s="116"/>
      <c r="AG14" s="71"/>
      <c r="AH14" s="116"/>
      <c r="AI14" s="116"/>
      <c r="AJ14" s="116"/>
      <c r="AK14" s="116"/>
      <c r="AL14" s="71"/>
      <c r="AM14" s="116"/>
      <c r="AN14" s="116"/>
      <c r="AO14" s="116"/>
      <c r="AP14" s="116"/>
      <c r="AQ14" s="71"/>
      <c r="BV14" s="519" t="s">
        <v>54</v>
      </c>
    </row>
    <row r="15" spans="1:74" outlineLevel="1" x14ac:dyDescent="0.25">
      <c r="A15" s="207"/>
      <c r="B15" s="304" t="s">
        <v>122</v>
      </c>
      <c r="C15" s="288"/>
      <c r="D15" s="77">
        <v>4525</v>
      </c>
      <c r="E15" s="77">
        <v>4570</v>
      </c>
      <c r="F15" s="77">
        <v>4712</v>
      </c>
      <c r="G15" s="77">
        <v>4774</v>
      </c>
      <c r="H15" s="89">
        <f t="shared" ref="H15:H23" si="0">SUM(D15:G15)</f>
        <v>18581</v>
      </c>
      <c r="I15" s="77">
        <v>5311</v>
      </c>
      <c r="J15" s="77">
        <v>5353</v>
      </c>
      <c r="K15" s="77">
        <v>5395</v>
      </c>
      <c r="L15" s="77">
        <v>5483</v>
      </c>
      <c r="M15" s="89">
        <f t="shared" ref="M15:M23" si="1">SUM(I15:L15)</f>
        <v>21542</v>
      </c>
      <c r="N15" s="77">
        <v>5518</v>
      </c>
      <c r="O15" s="77">
        <v>5742</v>
      </c>
      <c r="P15" s="77">
        <v>5981</v>
      </c>
      <c r="Q15" s="116">
        <v>5966</v>
      </c>
      <c r="R15" s="89">
        <f t="shared" ref="R15:R23" si="2">SUM(N15:Q15)</f>
        <v>23207</v>
      </c>
      <c r="S15" s="116">
        <f>(S67+S146+S163+S173+S177)*(N15/(N15+N16+N17+N20+N23))</f>
        <v>5954.6780224416088</v>
      </c>
      <c r="T15" s="116">
        <f>(T67+T146+T163+T173+T177)*(O15/(O15+O16+O17+O20+O23))</f>
        <v>6267.9317435014718</v>
      </c>
      <c r="U15" s="116">
        <f>(U67+U146+U163+U173+U177)*(P15/(P15+P16+P17+P20+P23))</f>
        <v>6458.4355478749612</v>
      </c>
      <c r="V15" s="116">
        <f>(V67+V146+V163+V173+V177)*(Q15/(Q15+Q16+Q17+Q20+Q23))</f>
        <v>6763.5531342625682</v>
      </c>
      <c r="W15" s="71">
        <f t="shared" ref="W15:W23" si="3">SUM(S15:V15)</f>
        <v>25444.598448080611</v>
      </c>
      <c r="X15" s="116">
        <f>(X67+X146+X163+X173+X177)*(S15/(S15+S16+S17+S20+S23))</f>
        <v>6478.9190832751756</v>
      </c>
      <c r="Y15" s="116">
        <f>(Y67+Y146+Y163+Y173+Y177)*(T15/(T15+T16+T17+T20+T23))</f>
        <v>6839.4876550779254</v>
      </c>
      <c r="Z15" s="116">
        <f>(Z67+Z146+Z163+Z173+Z177)*(U15/(U15+U16+U17+U20+U23))</f>
        <v>7048.4036035922991</v>
      </c>
      <c r="AA15" s="116">
        <f>(AA67+AA146+AA163+AA173+AA177)*(V15/(V15+V16+V17+V20+V23))</f>
        <v>7405.9897369870714</v>
      </c>
      <c r="AB15" s="71">
        <f t="shared" ref="AB15:AB23" si="4">SUM(X15:AA15)</f>
        <v>27772.800078932469</v>
      </c>
      <c r="AC15" s="116">
        <f>(AC67+AC146+AC163+AC173+AC177)*(X15/(X15+X16+X17+X20+X23))</f>
        <v>7074.7233174004596</v>
      </c>
      <c r="AD15" s="116">
        <f>(AD67+AD146+AD163+AD173+AD177)*(Y15/(Y15+Y16+Y17+Y20+Y23))</f>
        <v>7480.6066723645363</v>
      </c>
      <c r="AE15" s="116">
        <f>(AE67+AE146+AE163+AE173+AE177)*(Z15/(Z15+Z16+Z17+Z20+Z23))</f>
        <v>7712.1815767088556</v>
      </c>
      <c r="AF15" s="116">
        <f>(AF67+AF146+AF163+AF173+AF177)*(AA15/(AA15+AA16+AA17+AA20+AA23))</f>
        <v>8110.8159791389353</v>
      </c>
      <c r="AG15" s="71">
        <f t="shared" ref="AG15:AG23" si="5">SUM(AC15:AF15)</f>
        <v>30378.327545612789</v>
      </c>
      <c r="AH15" s="116">
        <f>(AH67+AH146+AH163+AH173+AH177)*(AC15/(AC15+AC16+AC17+AC20+AC23))</f>
        <v>7743.1601288020329</v>
      </c>
      <c r="AI15" s="116">
        <f>(AI67+AI146+AI163+AI173+AI177)*(AD15/(AD15+AD16+AD17+AD20+AD23))</f>
        <v>8197.0356503385774</v>
      </c>
      <c r="AJ15" s="116">
        <f>(AJ67+AJ146+AJ163+AJ173+AJ177)*(AE15/(AE15+AE16+AE17+AE20+AE23))</f>
        <v>8452.7295717951638</v>
      </c>
      <c r="AK15" s="116">
        <f>(AK67+AK146+AK163+AK173+AK177)*(AF15/(AF15+AF16+AF17+AF20+AF23))</f>
        <v>8895.0478144657955</v>
      </c>
      <c r="AL15" s="71">
        <f t="shared" ref="AL15:AL23" si="6">SUM(AH15:AK15)</f>
        <v>33287.97316540157</v>
      </c>
      <c r="AM15" s="116">
        <f>(AM67+AM146+AM163+AM173+AM177)*(AH15/(AH15+AH16+AH17+AH20+AH23))</f>
        <v>8489.5715655577933</v>
      </c>
      <c r="AN15" s="116">
        <f>(AN67+AN146+AN163+AN173+AN177)*(AI15/(AI15+AI16+AI17+AI20+AI23))</f>
        <v>8996.5812296195109</v>
      </c>
      <c r="AO15" s="116">
        <f>(AO67+AO146+AO163+AO173+AO177)*(AJ15/(AJ15+AJ16+AJ17+AJ20+AJ23))</f>
        <v>9279.1526524680266</v>
      </c>
      <c r="AP15" s="116">
        <f>(AP67+AP146+AP163+AP173+AP177)*(AK15/(AK15+AK16+AK17+AK20+AK23))</f>
        <v>9771.0815456289165</v>
      </c>
      <c r="AQ15" s="71">
        <f t="shared" ref="AQ15:AQ23" si="7">SUM(AM15:AP15)</f>
        <v>36536.386993274245</v>
      </c>
    </row>
    <row r="16" spans="1:74" outlineLevel="1" x14ac:dyDescent="0.25">
      <c r="B16" s="304" t="s">
        <v>123</v>
      </c>
      <c r="C16" s="288"/>
      <c r="D16" s="77">
        <v>2344</v>
      </c>
      <c r="E16" s="77">
        <v>2538</v>
      </c>
      <c r="F16" s="77">
        <v>2623</v>
      </c>
      <c r="G16" s="77">
        <v>2461</v>
      </c>
      <c r="H16" s="89">
        <f t="shared" si="0"/>
        <v>9966</v>
      </c>
      <c r="I16" s="77">
        <v>3240</v>
      </c>
      <c r="J16" s="77">
        <v>3431</v>
      </c>
      <c r="K16" s="77">
        <v>3498</v>
      </c>
      <c r="L16" s="77">
        <v>3461</v>
      </c>
      <c r="M16" s="89">
        <f t="shared" si="1"/>
        <v>13630</v>
      </c>
      <c r="N16" s="77">
        <v>3445</v>
      </c>
      <c r="O16" s="77">
        <v>3840</v>
      </c>
      <c r="P16" s="77">
        <v>3935</v>
      </c>
      <c r="Q16" s="77">
        <v>3881</v>
      </c>
      <c r="R16" s="89">
        <f t="shared" si="2"/>
        <v>15101</v>
      </c>
      <c r="S16" s="77">
        <f>(S67+S146+S163+S173+S177)*(N16/(N15+N16+N17+N20+N23))</f>
        <v>3717.6270002376477</v>
      </c>
      <c r="T16" s="77">
        <f>(T67+T146+T163+T173+T177)*(O16/(O15+O16+O17+O20+O23))</f>
        <v>4191.7202882350484</v>
      </c>
      <c r="U16" s="77">
        <f>(U67+U146+U163+U173+U177)*(P16/(P15+P16+P17+P20+P23))</f>
        <v>4249.1128374666405</v>
      </c>
      <c r="V16" s="77">
        <f>(V67+V146+V163+V173+V177)*(Q16/(Q15+Q16+Q17+Q20+Q23))</f>
        <v>4399.8239547557878</v>
      </c>
      <c r="W16" s="71">
        <f t="shared" si="3"/>
        <v>16558.284080695124</v>
      </c>
      <c r="X16" s="77">
        <f>(X67+X146+X163+X173+X177)*(S16/(S15+S16+S17+S20+S23))</f>
        <v>4044.921392149869</v>
      </c>
      <c r="Y16" s="77">
        <f>(Y67+Y146+Y163+Y173+Y177)*(T16/(T15+T16+T17+T20+T23))</f>
        <v>4573.9520368337216</v>
      </c>
      <c r="Z16" s="77">
        <f>(Z67+Z146+Z163+Z173+Z177)*(U16/(U15+U16+U17+U20+U23))</f>
        <v>4637.2626952241599</v>
      </c>
      <c r="AA16" s="77">
        <f>(AA67+AA146+AA163+AA173+AA177)*(V16/(V15+V16+V17+V20+V23))</f>
        <v>4817.7415637356398</v>
      </c>
      <c r="AB16" s="71">
        <f t="shared" si="4"/>
        <v>18073.87768794339</v>
      </c>
      <c r="AC16" s="77">
        <f>(AC67+AC146+AC163+AC173+AC177)*(X16/(X15+X16+X17+X20+X23))</f>
        <v>4416.8941334622295</v>
      </c>
      <c r="AD16" s="77">
        <f>(AD67+AD146+AD163+AD173+AD177)*(Y16/(Y15+Y16+Y17+Y20+Y23))</f>
        <v>5002.704566680567</v>
      </c>
      <c r="AE16" s="77">
        <f>(AE67+AE146+AE163+AE173+AE177)*(Z16/(Z15+Z16+Z17+Z20+Z23))</f>
        <v>5073.9733329458868</v>
      </c>
      <c r="AF16" s="77">
        <f>(AF67+AF146+AF163+AF173+AF177)*(AA16/(AA15+AA16+AA17+AA20+AA23))</f>
        <v>5276.2448566943021</v>
      </c>
      <c r="AG16" s="71">
        <f t="shared" si="5"/>
        <v>19769.816889782986</v>
      </c>
      <c r="AH16" s="77">
        <f>(AH67+AH146+AH163+AH173+AH177)*(AC16/(AC15+AC16+AC17+AC20+AC23))</f>
        <v>4834.2128749044941</v>
      </c>
      <c r="AI16" s="77">
        <f>(AI67+AI146+AI163+AI173+AI177)*(AD16/(AD15+AD16+AD17+AD20+AD23))</f>
        <v>5481.8211245733428</v>
      </c>
      <c r="AJ16" s="77">
        <f>(AJ67+AJ146+AJ163+AJ173+AJ177)*(AE16/(AE15+AE16+AE17+AE20+AE23))</f>
        <v>5561.1922529700669</v>
      </c>
      <c r="AK16" s="77">
        <f>(AK67+AK146+AK163+AK173+AK177)*(AF16/(AF15+AF16+AF17+AF20+AF23))</f>
        <v>5786.4030452466905</v>
      </c>
      <c r="AL16" s="71">
        <f t="shared" si="6"/>
        <v>21663.629297694595</v>
      </c>
      <c r="AM16" s="77">
        <f>(AM67+AM146+AM163+AM173+AM177)*(AH16/(AH15+AH16+AH17+AH20+AH23))</f>
        <v>5300.212766101231</v>
      </c>
      <c r="AN16" s="77">
        <f>(AN67+AN146+AN163+AN173+AN177)*(AI16/(AI15+AI16+AI17+AI20+AI23))</f>
        <v>6016.5224524101213</v>
      </c>
      <c r="AO16" s="77">
        <f>(AO67+AO146+AO163+AO173+AO177)*(AJ16/(AJ15+AJ16+AJ17+AJ20+AJ23))</f>
        <v>6104.9098290355605</v>
      </c>
      <c r="AP16" s="77">
        <f>(AP67+AP146+AP163+AP173+AP177)*(AK16/(AK15+AK16+AK17+AK20+AK23))</f>
        <v>6356.2801673794556</v>
      </c>
      <c r="AQ16" s="71">
        <f t="shared" si="7"/>
        <v>23777.92521492637</v>
      </c>
    </row>
    <row r="17" spans="2:43" outlineLevel="1" x14ac:dyDescent="0.25">
      <c r="B17" s="304" t="s">
        <v>124</v>
      </c>
      <c r="C17" s="288"/>
      <c r="D17" s="77">
        <v>695</v>
      </c>
      <c r="E17" s="77">
        <v>682</v>
      </c>
      <c r="F17" s="77">
        <v>744</v>
      </c>
      <c r="G17" s="77">
        <v>733</v>
      </c>
      <c r="H17" s="89">
        <f t="shared" si="0"/>
        <v>2854</v>
      </c>
      <c r="I17" s="77">
        <v>790</v>
      </c>
      <c r="J17" s="77">
        <v>802</v>
      </c>
      <c r="K17" s="77">
        <v>834</v>
      </c>
      <c r="L17" s="77">
        <v>814</v>
      </c>
      <c r="M17" s="89">
        <f t="shared" si="1"/>
        <v>3240</v>
      </c>
      <c r="N17" s="77">
        <v>818</v>
      </c>
      <c r="O17" s="77">
        <v>835</v>
      </c>
      <c r="P17" s="77">
        <v>873</v>
      </c>
      <c r="Q17" s="77">
        <v>835</v>
      </c>
      <c r="R17" s="89">
        <f t="shared" si="2"/>
        <v>3361</v>
      </c>
      <c r="S17" s="77">
        <f>(S67+S146+S163+S173+S177)*(N17/(N15+N16+N17+N20+N23))</f>
        <v>882.73407436702348</v>
      </c>
      <c r="T17" s="77">
        <f>(T67+T146+T163+T173+T177)*(O17/(O15+O16+O17+O20+O23))</f>
        <v>911.48084392611088</v>
      </c>
      <c r="U17" s="77">
        <f>(U67+U146+U163+U173+U177)*(P17/(P15+P16+P17+P20+P23))</f>
        <v>942.68754945575017</v>
      </c>
      <c r="V17" s="77">
        <f>(V67+V146+V163+V173+V177)*(Q17/(Q15+Q16+Q17+Q20+Q23))</f>
        <v>946.6253548624278</v>
      </c>
      <c r="W17" s="71">
        <f t="shared" si="3"/>
        <v>3683.5278226113123</v>
      </c>
      <c r="X17" s="77">
        <f>(X67+X146+X163+X173+X177)*(S17/(S15+S16+S17+S20+S23))</f>
        <v>960.44867889073817</v>
      </c>
      <c r="Y17" s="77">
        <f>(Y67+Y146+Y163+Y173+Y177)*(T17/(T15+T16+T17+T20+T23))</f>
        <v>994.5963413427495</v>
      </c>
      <c r="Z17" s="77">
        <f>(Z67+Z146+Z163+Z173+Z177)*(U17/(U15+U16+U17+U20+U23))</f>
        <v>1028.8005928667578</v>
      </c>
      <c r="AA17" s="77">
        <f>(AA67+AA146+AA163+AA173+AA177)*(V17/(V15+V16+V17+V20+V23))</f>
        <v>1036.5406353309093</v>
      </c>
      <c r="AB17" s="71">
        <f t="shared" si="4"/>
        <v>4020.3862484311549</v>
      </c>
      <c r="AC17" s="77">
        <f>(AC67+AC146+AC163+AC173+AC177)*(X17/(X15+X16+X17+X20+X23))</f>
        <v>1048.7719597016267</v>
      </c>
      <c r="AD17" s="77">
        <f>(AD67+AD146+AD163+AD173+AD177)*(Y17/(Y15+Y16+Y17+Y20+Y23))</f>
        <v>1087.8276857235087</v>
      </c>
      <c r="AE17" s="77">
        <f>(AE67+AE146+AE163+AE173+AE177)*(Z17/(Z15+Z16+Z17+Z20+Z23))</f>
        <v>1125.6870952126453</v>
      </c>
      <c r="AF17" s="77">
        <f>(AF67+AF146+AF163+AF173+AF177)*(AA17/(AA15+AA16+AA17+AA20+AA23))</f>
        <v>1135.1879555113997</v>
      </c>
      <c r="AG17" s="71">
        <f t="shared" si="5"/>
        <v>4397.4746961491801</v>
      </c>
      <c r="AH17" s="77">
        <f>(AH67+AH146+AH163+AH173+AH177)*(AC17/(AC15+AC16+AC17+AC20+AC23))</f>
        <v>1147.8624475099787</v>
      </c>
      <c r="AI17" s="77">
        <f>(AI67+AI146+AI163+AI173+AI177)*(AD17/(AD15+AD16+AD17+AD20+AD23))</f>
        <v>1192.0105830777973</v>
      </c>
      <c r="AJ17" s="77">
        <f>(AJ67+AJ146+AJ163+AJ173+AJ177)*(AE17/(AE15+AE16+AE17+AE20+AE23))</f>
        <v>1233.7791199092424</v>
      </c>
      <c r="AK17" s="77">
        <f>(AK67+AK146+AK163+AK173+AK177)*(AF17/(AF15+AF16+AF17+AF20+AF23))</f>
        <v>1244.9488644114883</v>
      </c>
      <c r="AL17" s="71">
        <f t="shared" si="6"/>
        <v>4818.6010149085068</v>
      </c>
      <c r="AM17" s="77">
        <f>(AM67+AM146+AM163+AM173+AM177)*(AH17/(AH15+AH16+AH17+AH20+AH23))</f>
        <v>1258.512058830423</v>
      </c>
      <c r="AN17" s="77">
        <f>(AN67+AN146+AN163+AN173+AN177)*(AI17/(AI15+AI16+AI17+AI20+AI23))</f>
        <v>1308.2802728548052</v>
      </c>
      <c r="AO17" s="77">
        <f>(AO67+AO146+AO163+AO173+AO177)*(AJ17/(AJ15+AJ16+AJ17+AJ20+AJ23))</f>
        <v>1354.405662197724</v>
      </c>
      <c r="AP17" s="77">
        <f>(AP67+AP146+AP163+AP173+AP177)*(AK17/(AK15+AK16+AK17+AK20+AK23))</f>
        <v>1367.5583457258037</v>
      </c>
      <c r="AQ17" s="71">
        <f t="shared" si="7"/>
        <v>5288.7563396087562</v>
      </c>
    </row>
    <row r="18" spans="2:43" outlineLevel="1" x14ac:dyDescent="0.25">
      <c r="B18" s="304" t="s">
        <v>125</v>
      </c>
      <c r="C18" s="288"/>
      <c r="D18" s="77">
        <v>648</v>
      </c>
      <c r="E18" s="77">
        <v>653</v>
      </c>
      <c r="F18" s="77">
        <v>663</v>
      </c>
      <c r="G18" s="77">
        <v>667</v>
      </c>
      <c r="H18" s="89">
        <f t="shared" si="0"/>
        <v>2631</v>
      </c>
      <c r="I18" s="77">
        <v>739</v>
      </c>
      <c r="J18" s="77">
        <v>740</v>
      </c>
      <c r="K18" s="77">
        <v>762</v>
      </c>
      <c r="L18" s="77">
        <v>754</v>
      </c>
      <c r="M18" s="89">
        <f t="shared" si="1"/>
        <v>2995</v>
      </c>
      <c r="N18" s="77">
        <v>751</v>
      </c>
      <c r="O18" s="77">
        <v>756</v>
      </c>
      <c r="P18" s="77">
        <v>786</v>
      </c>
      <c r="Q18" s="77">
        <v>802</v>
      </c>
      <c r="R18" s="89">
        <f t="shared" si="2"/>
        <v>3095</v>
      </c>
      <c r="S18" s="77">
        <f>+S307</f>
        <v>0</v>
      </c>
      <c r="T18" s="77">
        <f>+T307</f>
        <v>0</v>
      </c>
      <c r="U18" s="77">
        <f>+U307</f>
        <v>0</v>
      </c>
      <c r="V18" s="77">
        <f>+V307</f>
        <v>0</v>
      </c>
      <c r="W18" s="89">
        <f t="shared" si="3"/>
        <v>0</v>
      </c>
      <c r="X18" s="77">
        <f>+X307</f>
        <v>0</v>
      </c>
      <c r="Y18" s="77">
        <f>+Y307</f>
        <v>0</v>
      </c>
      <c r="Z18" s="77">
        <f>+Z307</f>
        <v>0</v>
      </c>
      <c r="AA18" s="77">
        <f>+AA307</f>
        <v>0</v>
      </c>
      <c r="AB18" s="71">
        <f t="shared" si="4"/>
        <v>0</v>
      </c>
      <c r="AC18" s="77">
        <f>+AC307</f>
        <v>0</v>
      </c>
      <c r="AD18" s="77">
        <f>+AD307</f>
        <v>0</v>
      </c>
      <c r="AE18" s="77">
        <f>+AE307</f>
        <v>0</v>
      </c>
      <c r="AF18" s="77">
        <f>+AF307</f>
        <v>0</v>
      </c>
      <c r="AG18" s="71">
        <f t="shared" si="5"/>
        <v>0</v>
      </c>
      <c r="AH18" s="77">
        <f>+AH307</f>
        <v>0</v>
      </c>
      <c r="AI18" s="77">
        <f>+AI307</f>
        <v>0</v>
      </c>
      <c r="AJ18" s="77">
        <f>+AJ307</f>
        <v>0</v>
      </c>
      <c r="AK18" s="77">
        <f>+AK307</f>
        <v>0</v>
      </c>
      <c r="AL18" s="71">
        <f t="shared" si="6"/>
        <v>0</v>
      </c>
      <c r="AM18" s="77">
        <f>+AM307</f>
        <v>0</v>
      </c>
      <c r="AN18" s="77">
        <f>+AN307</f>
        <v>0</v>
      </c>
      <c r="AO18" s="77">
        <f>+AO307</f>
        <v>0</v>
      </c>
      <c r="AP18" s="77">
        <f>+AP307</f>
        <v>0</v>
      </c>
      <c r="AQ18" s="71">
        <f t="shared" si="7"/>
        <v>0</v>
      </c>
    </row>
    <row r="19" spans="2:43" outlineLevel="1" x14ac:dyDescent="0.25">
      <c r="B19" s="304" t="s">
        <v>126</v>
      </c>
      <c r="C19" s="73"/>
      <c r="D19" s="77">
        <v>712</v>
      </c>
      <c r="E19" s="77">
        <v>615</v>
      </c>
      <c r="F19" s="77">
        <v>537</v>
      </c>
      <c r="G19" s="77">
        <v>535</v>
      </c>
      <c r="H19" s="89">
        <f t="shared" si="0"/>
        <v>2399</v>
      </c>
      <c r="I19" s="77">
        <v>650</v>
      </c>
      <c r="J19" s="77">
        <v>658</v>
      </c>
      <c r="K19" s="77">
        <v>735</v>
      </c>
      <c r="L19" s="77">
        <v>730</v>
      </c>
      <c r="M19" s="89">
        <f t="shared" si="1"/>
        <v>2773</v>
      </c>
      <c r="N19" s="77">
        <v>703</v>
      </c>
      <c r="O19" s="77">
        <v>818</v>
      </c>
      <c r="P19" s="77">
        <v>914</v>
      </c>
      <c r="Q19" s="77">
        <v>939</v>
      </c>
      <c r="R19" s="89">
        <f t="shared" si="2"/>
        <v>3374</v>
      </c>
      <c r="S19" s="77">
        <f>+S65+S144+S161+S175</f>
        <v>842.88582188414182</v>
      </c>
      <c r="T19" s="77">
        <f>+T65+T144+T161+T175</f>
        <v>878.45366145367814</v>
      </c>
      <c r="U19" s="77">
        <f>+U65+U144+U161+U175</f>
        <v>893.61284009039991</v>
      </c>
      <c r="V19" s="77">
        <f>+V65+V144+V161+V175</f>
        <v>888.54577293037448</v>
      </c>
      <c r="W19" s="71">
        <f t="shared" si="3"/>
        <v>3503.498096358594</v>
      </c>
      <c r="X19" s="77">
        <f>+X65+X144+X161+X175</f>
        <v>875.85247382761122</v>
      </c>
      <c r="Y19" s="77">
        <f>+Y65+Y144+Y161+Y175</f>
        <v>884.11597149680642</v>
      </c>
      <c r="Z19" s="77">
        <f>+Z65+Z144+Z161+Z175</f>
        <v>885.53005486079326</v>
      </c>
      <c r="AA19" s="77">
        <f>+AA65+AA144+AA161+AA175</f>
        <v>883.51266396715289</v>
      </c>
      <c r="AB19" s="71">
        <f t="shared" si="4"/>
        <v>3529.011164152364</v>
      </c>
      <c r="AC19" s="77">
        <f>+AC65+AC144+AC161+AC175</f>
        <v>882.25231327009351</v>
      </c>
      <c r="AD19" s="77">
        <f>+AD65+AD144+AD161+AD175</f>
        <v>883.85268805355884</v>
      </c>
      <c r="AE19" s="77">
        <f>+AE65+AE144+AE161+AE175</f>
        <v>883.78687219169728</v>
      </c>
      <c r="AF19" s="77">
        <f>+AF65+AF144+AF161+AF175</f>
        <v>883.35115559636438</v>
      </c>
      <c r="AG19" s="71">
        <f t="shared" si="5"/>
        <v>3533.2430291117134</v>
      </c>
      <c r="AH19" s="77">
        <f>+AH65+AH144+AH161+AH175</f>
        <v>883.31075437387869</v>
      </c>
      <c r="AI19" s="77">
        <f>+AI65+AI144+AI161+AI175</f>
        <v>883.57536249181908</v>
      </c>
      <c r="AJ19" s="77">
        <f>+AJ65+AJ144+AJ161+AJ175</f>
        <v>883.50603546972206</v>
      </c>
      <c r="AK19" s="77">
        <f>+AK65+AK144+AK161+AK175</f>
        <v>883.43582663945449</v>
      </c>
      <c r="AL19" s="71">
        <f t="shared" si="6"/>
        <v>3533.827978974874</v>
      </c>
      <c r="AM19" s="77">
        <f>+AM65+AM144+AM161+AM175</f>
        <v>883.45699496488021</v>
      </c>
      <c r="AN19" s="77">
        <f>+AN65+AN144+AN161+AN175</f>
        <v>883.49355467204498</v>
      </c>
      <c r="AO19" s="77">
        <f>+AO65+AO144+AO161+AO175</f>
        <v>883.47310294209797</v>
      </c>
      <c r="AP19" s="77">
        <f>+AP65+AP144+AP161+AP175</f>
        <v>883.46486977671816</v>
      </c>
      <c r="AQ19" s="71">
        <f t="shared" si="7"/>
        <v>3533.8885223557409</v>
      </c>
    </row>
    <row r="20" spans="2:43" outlineLevel="1" x14ac:dyDescent="0.25">
      <c r="B20" s="304" t="s">
        <v>127</v>
      </c>
      <c r="C20" s="73"/>
      <c r="D20" s="77">
        <v>548</v>
      </c>
      <c r="E20" s="77">
        <v>529</v>
      </c>
      <c r="F20" s="77">
        <v>504</v>
      </c>
      <c r="G20" s="77">
        <v>527</v>
      </c>
      <c r="H20" s="89">
        <f t="shared" si="0"/>
        <v>2108</v>
      </c>
      <c r="I20" s="77">
        <v>598</v>
      </c>
      <c r="J20" s="77">
        <v>579</v>
      </c>
      <c r="K20" s="77">
        <v>588</v>
      </c>
      <c r="L20" s="77">
        <v>609</v>
      </c>
      <c r="M20" s="89">
        <f t="shared" si="1"/>
        <v>2374</v>
      </c>
      <c r="N20" s="77">
        <v>675</v>
      </c>
      <c r="O20" s="77">
        <v>665</v>
      </c>
      <c r="P20" s="77">
        <v>628</v>
      </c>
      <c r="Q20" s="77">
        <v>654</v>
      </c>
      <c r="R20" s="89">
        <f t="shared" si="2"/>
        <v>2622</v>
      </c>
      <c r="S20" s="77">
        <f>(S67+S146+S163+S173+S177)*(N20/(N15+N16+N17+N20+N23))</f>
        <v>728.41748190432861</v>
      </c>
      <c r="T20" s="77">
        <f>(T67+T146+T163+T173+T177)*(O20/(O15+O16+O17+O20+O23))</f>
        <v>725.909893665705</v>
      </c>
      <c r="U20" s="77">
        <f>(U67+U146+U163+U173+U177)*(P20/(P15+P16+P17+P20+P23))</f>
        <v>678.13033340001266</v>
      </c>
      <c r="V20" s="77">
        <f>(V67+V146+V163+V173+V177)*(Q20/(Q15+Q16+Q17+Q20+Q23))</f>
        <v>741.42872105392553</v>
      </c>
      <c r="W20" s="71">
        <f t="shared" si="3"/>
        <v>2873.8864300239716</v>
      </c>
      <c r="X20" s="77">
        <f>(X67+X146+X163+X173+X177)*(S20/(S15+S16+S17+S20+S23))</f>
        <v>792.54628148074346</v>
      </c>
      <c r="Y20" s="77">
        <f>(Y67+Y146+Y163+Y173+Y177)*(T20/(T15+T16+T17+T20+T23))</f>
        <v>792.10367304542319</v>
      </c>
      <c r="Z20" s="77">
        <f>(Z67+Z146+Z163+Z173+Z177)*(U20/(U15+U16+U17+U20+U23))</f>
        <v>740.07648604848089</v>
      </c>
      <c r="AA20" s="77">
        <f>(AA67+AA146+AA163+AA173+AA177)*(V20/(V15+V16+V17+V20+V23))</f>
        <v>811.85338384001761</v>
      </c>
      <c r="AB20" s="71">
        <f t="shared" si="4"/>
        <v>3136.5798244146654</v>
      </c>
      <c r="AC20" s="77">
        <f>(AC67+AC146+AC163+AC173+AC177)*(X20/(X15+X16+X17+X20+X23))</f>
        <v>865.42918435036415</v>
      </c>
      <c r="AD20" s="77">
        <f>(AD67+AD146+AD163+AD173+AD177)*(Y20/(Y15+Y16+Y17+Y20+Y23))</f>
        <v>866.35378563608776</v>
      </c>
      <c r="AE20" s="77">
        <f>(AE67+AE146+AE163+AE173+AE177)*(Z20/(Z15+Z16+Z17+Z20+Z23))</f>
        <v>809.77261832020758</v>
      </c>
      <c r="AF20" s="77">
        <f>(AF67+AF146+AF163+AF173+AF177)*(AA20/(AA15+AA16+AA17+AA20+AA23))</f>
        <v>889.11727293946763</v>
      </c>
      <c r="AG20" s="71">
        <f t="shared" si="5"/>
        <v>3430.672861246127</v>
      </c>
      <c r="AH20" s="77">
        <f>(AH67+AH146+AH163+AH173+AH177)*(AC20/(AC15+AC16+AC17+AC20+AC23))</f>
        <v>947.19700741960332</v>
      </c>
      <c r="AI20" s="77">
        <f>(AI67+AI146+AI163+AI173+AI177)*(AD20/(AD15+AD16+AD17+AD20+AD23))</f>
        <v>949.32579370866495</v>
      </c>
      <c r="AJ20" s="77">
        <f>(AJ67+AJ146+AJ163+AJ173+AJ177)*(AE20/(AE15+AE16+AE17+AE20+AE23))</f>
        <v>887.52953872050875</v>
      </c>
      <c r="AK20" s="77">
        <f>(AK67+AK146+AK163+AK173+AK177)*(AF20/(AF15+AF16+AF17+AF20+AF23))</f>
        <v>975.08569739534539</v>
      </c>
      <c r="AL20" s="71">
        <f t="shared" si="6"/>
        <v>3759.1380372441226</v>
      </c>
      <c r="AM20" s="77">
        <f>(AM67+AM146+AM163+AM173+AM177)*(AH20/(AH15+AH16+AH17+AH20+AH23))</f>
        <v>1038.5032270299944</v>
      </c>
      <c r="AN20" s="77">
        <f>(AN67+AN146+AN163+AN173+AN177)*(AI20/(AI15+AI16+AI17+AI20+AI23))</f>
        <v>1041.9238101178987</v>
      </c>
      <c r="AO20" s="77">
        <f>(AO67+AO146+AO163+AO173+AO177)*(AJ20/(AJ15+AJ16+AJ17+AJ20+AJ23))</f>
        <v>974.3032713174922</v>
      </c>
      <c r="AP20" s="77">
        <f>(AP67+AP146+AP163+AP173+AP177)*(AK20/(AK15+AK16+AK17+AK20+AK23))</f>
        <v>1071.1175546163781</v>
      </c>
      <c r="AQ20" s="71">
        <f t="shared" si="7"/>
        <v>4125.8478630817635</v>
      </c>
    </row>
    <row r="21" spans="2:43" outlineLevel="1" x14ac:dyDescent="0.25">
      <c r="B21" s="304" t="s">
        <v>128</v>
      </c>
      <c r="C21" s="73"/>
      <c r="D21" s="77"/>
      <c r="E21" s="77"/>
      <c r="F21" s="77"/>
      <c r="G21" s="77"/>
      <c r="H21" s="89">
        <f t="shared" si="0"/>
        <v>0</v>
      </c>
      <c r="I21" s="77"/>
      <c r="J21" s="77"/>
      <c r="K21" s="77">
        <v>0</v>
      </c>
      <c r="L21" s="77">
        <v>0</v>
      </c>
      <c r="M21" s="89">
        <f t="shared" si="1"/>
        <v>0</v>
      </c>
      <c r="N21" s="77">
        <v>0</v>
      </c>
      <c r="O21" s="77">
        <v>0</v>
      </c>
      <c r="P21" s="77">
        <v>0</v>
      </c>
      <c r="Q21" s="77">
        <v>380</v>
      </c>
      <c r="R21" s="89">
        <f t="shared" si="2"/>
        <v>380</v>
      </c>
      <c r="S21" s="221">
        <v>0</v>
      </c>
      <c r="T21" s="221">
        <v>0</v>
      </c>
      <c r="U21" s="221">
        <v>0</v>
      </c>
      <c r="V21" s="221">
        <v>0</v>
      </c>
      <c r="W21" s="71">
        <f t="shared" si="3"/>
        <v>0</v>
      </c>
      <c r="X21" s="221">
        <v>0</v>
      </c>
      <c r="Y21" s="221">
        <v>0</v>
      </c>
      <c r="Z21" s="221">
        <v>0</v>
      </c>
      <c r="AA21" s="221">
        <v>0</v>
      </c>
      <c r="AB21" s="71">
        <f t="shared" si="4"/>
        <v>0</v>
      </c>
      <c r="AC21" s="221">
        <v>0</v>
      </c>
      <c r="AD21" s="221">
        <v>0</v>
      </c>
      <c r="AE21" s="221">
        <v>0</v>
      </c>
      <c r="AF21" s="221">
        <v>0</v>
      </c>
      <c r="AG21" s="71">
        <f t="shared" si="5"/>
        <v>0</v>
      </c>
      <c r="AH21" s="221">
        <v>0</v>
      </c>
      <c r="AI21" s="221">
        <v>0</v>
      </c>
      <c r="AJ21" s="221">
        <v>0</v>
      </c>
      <c r="AK21" s="221">
        <v>0</v>
      </c>
      <c r="AL21" s="71">
        <f t="shared" si="6"/>
        <v>0</v>
      </c>
      <c r="AM21" s="221">
        <v>0</v>
      </c>
      <c r="AN21" s="221">
        <v>0</v>
      </c>
      <c r="AO21" s="221">
        <v>0</v>
      </c>
      <c r="AP21" s="221">
        <v>0</v>
      </c>
      <c r="AQ21" s="71">
        <f t="shared" si="7"/>
        <v>0</v>
      </c>
    </row>
    <row r="22" spans="2:43" outlineLevel="1" x14ac:dyDescent="0.25">
      <c r="B22" s="304" t="s">
        <v>129</v>
      </c>
      <c r="C22" s="73"/>
      <c r="D22" s="77">
        <v>0</v>
      </c>
      <c r="E22" s="77">
        <v>0</v>
      </c>
      <c r="F22" s="77">
        <v>0</v>
      </c>
      <c r="G22" s="77">
        <v>1498</v>
      </c>
      <c r="H22" s="89">
        <f t="shared" si="0"/>
        <v>1498</v>
      </c>
      <c r="I22" s="77">
        <v>0</v>
      </c>
      <c r="J22" s="77">
        <v>0</v>
      </c>
      <c r="K22" s="77">
        <v>0</v>
      </c>
      <c r="L22" s="77">
        <v>-24</v>
      </c>
      <c r="M22" s="89">
        <f t="shared" si="1"/>
        <v>-24</v>
      </c>
      <c r="N22" s="77">
        <v>0</v>
      </c>
      <c r="O22" s="77">
        <v>0</v>
      </c>
      <c r="P22" s="77">
        <v>0</v>
      </c>
      <c r="Q22" s="77">
        <v>-10</v>
      </c>
      <c r="R22" s="89">
        <f t="shared" si="2"/>
        <v>-10</v>
      </c>
      <c r="S22" s="77">
        <f>+S205</f>
        <v>0</v>
      </c>
      <c r="T22" s="77">
        <f>+T205</f>
        <v>0</v>
      </c>
      <c r="U22" s="77">
        <f>+U205</f>
        <v>0</v>
      </c>
      <c r="V22" s="77">
        <f>+V205</f>
        <v>-227.23050661764719</v>
      </c>
      <c r="W22" s="71">
        <f t="shared" si="3"/>
        <v>-227.23050661764719</v>
      </c>
      <c r="X22" s="77">
        <f>+X205</f>
        <v>0</v>
      </c>
      <c r="Y22" s="77">
        <f>+Y205</f>
        <v>0</v>
      </c>
      <c r="Z22" s="77">
        <f>+Z205</f>
        <v>0</v>
      </c>
      <c r="AA22" s="77">
        <f>+AA205</f>
        <v>-99.999999999999943</v>
      </c>
      <c r="AB22" s="71">
        <f t="shared" si="4"/>
        <v>-99.999999999999943</v>
      </c>
      <c r="AC22" s="77">
        <f>+AC205</f>
        <v>0</v>
      </c>
      <c r="AD22" s="77">
        <f>+AD205</f>
        <v>0</v>
      </c>
      <c r="AE22" s="77">
        <f>+AE205</f>
        <v>0</v>
      </c>
      <c r="AF22" s="77">
        <f>+AF205</f>
        <v>-55.00000000000005</v>
      </c>
      <c r="AG22" s="71">
        <f t="shared" si="5"/>
        <v>-55.00000000000005</v>
      </c>
      <c r="AH22" s="77">
        <f>+AH205</f>
        <v>0</v>
      </c>
      <c r="AI22" s="77">
        <f>+AI205</f>
        <v>0</v>
      </c>
      <c r="AJ22" s="77">
        <f>+AJ205</f>
        <v>0</v>
      </c>
      <c r="AK22" s="77">
        <f>+AK205</f>
        <v>-55.00000000000005</v>
      </c>
      <c r="AL22" s="71">
        <f t="shared" si="6"/>
        <v>-55.00000000000005</v>
      </c>
      <c r="AM22" s="77">
        <f>+AM205</f>
        <v>0</v>
      </c>
      <c r="AN22" s="77">
        <f>+AN205</f>
        <v>0</v>
      </c>
      <c r="AO22" s="77">
        <f>+AO205</f>
        <v>0</v>
      </c>
      <c r="AP22" s="77">
        <f>+AP205</f>
        <v>-55.00000000000005</v>
      </c>
      <c r="AQ22" s="71">
        <f t="shared" si="7"/>
        <v>-55.00000000000005</v>
      </c>
    </row>
    <row r="23" spans="2:43" ht="17.25" customHeight="1" outlineLevel="1" x14ac:dyDescent="0.4">
      <c r="B23" s="304" t="s">
        <v>130</v>
      </c>
      <c r="C23" s="73"/>
      <c r="D23" s="78">
        <v>1663</v>
      </c>
      <c r="E23" s="78">
        <v>1729</v>
      </c>
      <c r="F23" s="78">
        <v>2007</v>
      </c>
      <c r="G23" s="78">
        <v>1852</v>
      </c>
      <c r="H23" s="130">
        <f t="shared" si="0"/>
        <v>7251</v>
      </c>
      <c r="I23" s="78">
        <v>2071</v>
      </c>
      <c r="J23" s="78">
        <v>2201</v>
      </c>
      <c r="K23" s="78">
        <v>2160</v>
      </c>
      <c r="L23" s="78">
        <v>2320</v>
      </c>
      <c r="M23" s="130">
        <f t="shared" si="1"/>
        <v>8752</v>
      </c>
      <c r="N23" s="78">
        <v>2270</v>
      </c>
      <c r="O23" s="78">
        <v>2395</v>
      </c>
      <c r="P23" s="78">
        <v>2408</v>
      </c>
      <c r="Q23" s="78">
        <v>2377</v>
      </c>
      <c r="R23" s="130">
        <f t="shared" si="2"/>
        <v>9450</v>
      </c>
      <c r="S23" s="78">
        <f>(S67+S146+S163+S173+S177)*(N23/(N15+N16+N17+N20+N23))</f>
        <v>2449.6410132190017</v>
      </c>
      <c r="T23" s="78">
        <f>(T67+T146+T163+T173+T177)*(O23/(O15+O16+O17+O20+O23))</f>
        <v>2614.3672110215994</v>
      </c>
      <c r="U23" s="78">
        <f>(U67+U146+U163+U173+U177)*(P23/(P15+P16+P17+P20+P23))</f>
        <v>2600.2194949478194</v>
      </c>
      <c r="V23" s="78">
        <f>(V67+V146+V163+V173+V177)*(Q23/(Q15+Q16+Q17+Q20+Q23))</f>
        <v>2694.7646329437016</v>
      </c>
      <c r="W23" s="76">
        <f t="shared" si="3"/>
        <v>10358.992352132122</v>
      </c>
      <c r="X23" s="78">
        <f>(X67+X146+X163+X173+X177)*(S23/(S15+S16+S17+S20+S23))</f>
        <v>2665.3037910537601</v>
      </c>
      <c r="Y23" s="78">
        <f>(Y67+Y146+Y163+Y173+Y177)*(T23/(T15+T16+T17+T20+T23))</f>
        <v>2852.7643563064489</v>
      </c>
      <c r="Z23" s="78">
        <f>(Z67+Z146+Z163+Z173+Z177)*(U23/(U15+U16+U17+U20+U23))</f>
        <v>2837.7455070139204</v>
      </c>
      <c r="AA23" s="78">
        <f>(AA67+AA146+AA163+AA173+AA177)*(V23/(V15+V16+V17+V20+V23))</f>
        <v>2950.7270541096664</v>
      </c>
      <c r="AB23" s="76">
        <f t="shared" si="4"/>
        <v>11306.540708483795</v>
      </c>
      <c r="AC23" s="78">
        <f>(AC67+AC146+AC163+AC173+AC177)*(X23/(X15+X16+X17+X20+X23))</f>
        <v>2910.4062940375215</v>
      </c>
      <c r="AD23" s="78">
        <f>(AD67+AD146+AD163+AD173+AD177)*(Y23/(Y15+Y16+Y17+Y20+Y23))</f>
        <v>3120.1764159374893</v>
      </c>
      <c r="AE23" s="78">
        <f>(AE67+AE146+AE163+AE173+AE177)*(Z23/(Z15+Z16+Z17+Z20+Z23))</f>
        <v>3104.9880014571017</v>
      </c>
      <c r="AF23" s="78">
        <f>(AF67+AF146+AF163+AF173+AF177)*(AA23/(AA15+AA16+AA17+AA20+AA23))</f>
        <v>3231.5470302402364</v>
      </c>
      <c r="AG23" s="76">
        <f t="shared" si="5"/>
        <v>12367.117741672348</v>
      </c>
      <c r="AH23" s="78">
        <f>(AH67+AH146+AH163+AH173+AH177)*(AC23/(AC15+AC16+AC17+AC20+AC23))</f>
        <v>3185.3884545814813</v>
      </c>
      <c r="AI23" s="78">
        <f>(AI67+AI146+AI163+AI173+AI177)*(AD23/(AD15+AD16+AD17+AD20+AD23))</f>
        <v>3419.0004149357183</v>
      </c>
      <c r="AJ23" s="78">
        <f>(AJ67+AJ146+AJ163+AJ173+AJ177)*(AE23/(AE15+AE16+AE17+AE20+AE23))</f>
        <v>3403.1387408264095</v>
      </c>
      <c r="AK23" s="78">
        <f>(AK67+AK146+AK163+AK173+AK177)*(AF23/(AF15+AF16+AF17+AF20+AF23))</f>
        <v>3544.0041325821649</v>
      </c>
      <c r="AL23" s="76">
        <f t="shared" si="6"/>
        <v>13551.531742925774</v>
      </c>
      <c r="AM23" s="78">
        <f>(AM67+AM146+AM163+AM173+AM177)*(AH23/(AH15+AH16+AH17+AH20+AH23))</f>
        <v>3492.447889419389</v>
      </c>
      <c r="AN23" s="78">
        <f>(AN67+AN146+AN163+AN173+AN177)*(AI23/(AI15+AI16+AI17+AI20+AI23))</f>
        <v>3752.4925191464172</v>
      </c>
      <c r="AO23" s="78">
        <f>(AO67+AO146+AO163+AO173+AO177)*(AJ23/(AJ15+AJ16+AJ17+AJ20+AJ23))</f>
        <v>3735.8634989371358</v>
      </c>
      <c r="AP23" s="78">
        <f>(AP67+AP146+AP163+AP173+AP177)*(AK23/(AK15+AK16+AK17+AK20+AK23))</f>
        <v>3893.0373506469891</v>
      </c>
      <c r="AQ23" s="76">
        <f t="shared" si="7"/>
        <v>14873.841258149931</v>
      </c>
    </row>
    <row r="24" spans="2:43" s="83" customFormat="1" ht="17.25" customHeight="1" x14ac:dyDescent="0.4">
      <c r="B24" s="296" t="s">
        <v>49</v>
      </c>
      <c r="C24" s="79"/>
      <c r="D24" s="81">
        <f t="shared" ref="D24:AQ24" si="8">SUM(D15:D23)</f>
        <v>11135</v>
      </c>
      <c r="E24" s="81">
        <f t="shared" si="8"/>
        <v>11316</v>
      </c>
      <c r="F24" s="81">
        <f t="shared" si="8"/>
        <v>11790</v>
      </c>
      <c r="G24" s="81">
        <f t="shared" si="8"/>
        <v>13047</v>
      </c>
      <c r="H24" s="82">
        <f t="shared" si="8"/>
        <v>47288</v>
      </c>
      <c r="I24" s="81">
        <f t="shared" si="8"/>
        <v>13399</v>
      </c>
      <c r="J24" s="81">
        <f t="shared" si="8"/>
        <v>13764</v>
      </c>
      <c r="K24" s="81">
        <f t="shared" si="8"/>
        <v>13972</v>
      </c>
      <c r="L24" s="81">
        <f t="shared" si="8"/>
        <v>14147</v>
      </c>
      <c r="M24" s="82">
        <f t="shared" si="8"/>
        <v>55282</v>
      </c>
      <c r="N24" s="81">
        <f t="shared" si="8"/>
        <v>14180</v>
      </c>
      <c r="O24" s="81">
        <f t="shared" si="8"/>
        <v>15051</v>
      </c>
      <c r="P24" s="81">
        <f t="shared" si="8"/>
        <v>15525</v>
      </c>
      <c r="Q24" s="81">
        <f t="shared" si="8"/>
        <v>15824</v>
      </c>
      <c r="R24" s="82">
        <f t="shared" si="8"/>
        <v>60580</v>
      </c>
      <c r="S24" s="81">
        <f>SUM(S15:S23)</f>
        <v>14575.983414053751</v>
      </c>
      <c r="T24" s="81">
        <f t="shared" si="8"/>
        <v>15589.863641803613</v>
      </c>
      <c r="U24" s="81">
        <f t="shared" si="8"/>
        <v>15822.198603235584</v>
      </c>
      <c r="V24" s="81">
        <f t="shared" si="8"/>
        <v>16207.511064191138</v>
      </c>
      <c r="W24" s="80">
        <f t="shared" si="8"/>
        <v>62195.556723284084</v>
      </c>
      <c r="X24" s="81">
        <f t="shared" si="8"/>
        <v>15817.991700677898</v>
      </c>
      <c r="Y24" s="81">
        <f t="shared" si="8"/>
        <v>16937.020034103076</v>
      </c>
      <c r="Z24" s="81">
        <f t="shared" si="8"/>
        <v>17177.818939606412</v>
      </c>
      <c r="AA24" s="81">
        <f t="shared" si="8"/>
        <v>17806.36503797046</v>
      </c>
      <c r="AB24" s="80">
        <f t="shared" si="8"/>
        <v>67739.195712357832</v>
      </c>
      <c r="AC24" s="81">
        <f t="shared" si="8"/>
        <v>17198.477202222293</v>
      </c>
      <c r="AD24" s="81">
        <f t="shared" si="8"/>
        <v>18441.521814395746</v>
      </c>
      <c r="AE24" s="81">
        <f t="shared" si="8"/>
        <v>18710.389496836393</v>
      </c>
      <c r="AF24" s="81">
        <f t="shared" si="8"/>
        <v>19471.264250120705</v>
      </c>
      <c r="AG24" s="80">
        <f t="shared" si="8"/>
        <v>73821.652763575141</v>
      </c>
      <c r="AH24" s="81">
        <f t="shared" si="8"/>
        <v>18741.131667591468</v>
      </c>
      <c r="AI24" s="81">
        <f t="shared" si="8"/>
        <v>20122.768929125923</v>
      </c>
      <c r="AJ24" s="81">
        <f t="shared" si="8"/>
        <v>20421.875259691114</v>
      </c>
      <c r="AK24" s="81">
        <f t="shared" si="8"/>
        <v>21273.92538074094</v>
      </c>
      <c r="AL24" s="80">
        <f t="shared" si="8"/>
        <v>80559.701237149435</v>
      </c>
      <c r="AM24" s="81">
        <f t="shared" si="8"/>
        <v>20462.70450190371</v>
      </c>
      <c r="AN24" s="81">
        <f t="shared" si="8"/>
        <v>21999.293838820799</v>
      </c>
      <c r="AO24" s="81">
        <f t="shared" si="8"/>
        <v>22332.108016898037</v>
      </c>
      <c r="AP24" s="81">
        <f t="shared" si="8"/>
        <v>23287.539833774263</v>
      </c>
      <c r="AQ24" s="80">
        <f t="shared" si="8"/>
        <v>88081.646191396809</v>
      </c>
    </row>
    <row r="25" spans="2:43" x14ac:dyDescent="0.25">
      <c r="B25" s="296" t="s">
        <v>131</v>
      </c>
      <c r="C25" s="74"/>
      <c r="D25" s="86">
        <f t="shared" ref="D25:AQ25" si="9">D13-D24</f>
        <v>1144</v>
      </c>
      <c r="E25" s="86">
        <f t="shared" si="9"/>
        <v>1137</v>
      </c>
      <c r="F25" s="86">
        <f t="shared" si="9"/>
        <v>864</v>
      </c>
      <c r="G25" s="86">
        <f t="shared" si="9"/>
        <v>-68</v>
      </c>
      <c r="H25" s="87">
        <f t="shared" si="9"/>
        <v>3077</v>
      </c>
      <c r="I25" s="86">
        <f t="shared" si="9"/>
        <v>1264</v>
      </c>
      <c r="J25" s="86">
        <f t="shared" si="9"/>
        <v>1167</v>
      </c>
      <c r="K25" s="86">
        <f t="shared" si="9"/>
        <v>1025</v>
      </c>
      <c r="L25" s="86">
        <f t="shared" si="9"/>
        <v>1581</v>
      </c>
      <c r="M25" s="87">
        <f t="shared" si="9"/>
        <v>5037</v>
      </c>
      <c r="N25" s="86">
        <f t="shared" si="9"/>
        <v>1117</v>
      </c>
      <c r="O25" s="86">
        <f t="shared" si="9"/>
        <v>1262</v>
      </c>
      <c r="P25" s="86">
        <f t="shared" si="9"/>
        <v>1001</v>
      </c>
      <c r="Q25" s="86">
        <f t="shared" si="9"/>
        <v>1490.1257859999969</v>
      </c>
      <c r="R25" s="87">
        <f t="shared" si="9"/>
        <v>4870.1257859999969</v>
      </c>
      <c r="S25" s="86">
        <f>S13-S24</f>
        <v>2016.7003512545798</v>
      </c>
      <c r="T25" s="86">
        <f t="shared" si="9"/>
        <v>2235.5885487475807</v>
      </c>
      <c r="U25" s="86">
        <f t="shared" si="9"/>
        <v>2278.7570010673098</v>
      </c>
      <c r="V25" s="86">
        <f t="shared" si="9"/>
        <v>2724.6349125828019</v>
      </c>
      <c r="W25" s="85">
        <f t="shared" si="9"/>
        <v>9255.6808136522741</v>
      </c>
      <c r="X25" s="86">
        <f t="shared" si="9"/>
        <v>2309.8137675782109</v>
      </c>
      <c r="Y25" s="86">
        <f t="shared" si="9"/>
        <v>2583.5630000982819</v>
      </c>
      <c r="Z25" s="86">
        <f t="shared" si="9"/>
        <v>2648.0143569792999</v>
      </c>
      <c r="AA25" s="86">
        <f t="shared" si="9"/>
        <v>2931.9592832709131</v>
      </c>
      <c r="AB25" s="85">
        <f t="shared" si="9"/>
        <v>10473.35040792673</v>
      </c>
      <c r="AC25" s="86">
        <f t="shared" si="9"/>
        <v>2656.7792056703438</v>
      </c>
      <c r="AD25" s="86">
        <f t="shared" si="9"/>
        <v>2964.0775815886882</v>
      </c>
      <c r="AE25" s="86">
        <f t="shared" si="9"/>
        <v>3032.5325670256934</v>
      </c>
      <c r="AF25" s="86">
        <f t="shared" si="9"/>
        <v>3284.0260560768475</v>
      </c>
      <c r="AG25" s="85">
        <f t="shared" si="9"/>
        <v>11937.415410361573</v>
      </c>
      <c r="AH25" s="86">
        <f t="shared" si="9"/>
        <v>3042.8803692564506</v>
      </c>
      <c r="AI25" s="86">
        <f t="shared" si="9"/>
        <v>3384.1776698172507</v>
      </c>
      <c r="AJ25" s="86">
        <f t="shared" si="9"/>
        <v>3458.7682876676699</v>
      </c>
      <c r="AK25" s="86">
        <f t="shared" si="9"/>
        <v>3733.0651283265943</v>
      </c>
      <c r="AL25" s="85">
        <f t="shared" si="9"/>
        <v>13618.891455067962</v>
      </c>
      <c r="AM25" s="86">
        <f t="shared" si="9"/>
        <v>3473.504941994117</v>
      </c>
      <c r="AN25" s="86">
        <f t="shared" si="9"/>
        <v>3852.9320529075558</v>
      </c>
      <c r="AO25" s="86">
        <f t="shared" si="9"/>
        <v>3934.3273798269111</v>
      </c>
      <c r="AP25" s="86">
        <f t="shared" si="9"/>
        <v>4233.9563794956084</v>
      </c>
      <c r="AQ25" s="85">
        <f t="shared" si="9"/>
        <v>15494.720754224196</v>
      </c>
    </row>
    <row r="26" spans="2:43" s="267" customFormat="1" ht="17.25" outlineLevel="1" x14ac:dyDescent="0.4">
      <c r="B26" s="274" t="s">
        <v>324</v>
      </c>
      <c r="C26" s="275"/>
      <c r="D26" s="276">
        <f t="shared" ref="D26:AQ26" si="10">+D231+D233+D235+D237</f>
        <v>0</v>
      </c>
      <c r="E26" s="276">
        <f t="shared" si="10"/>
        <v>0</v>
      </c>
      <c r="F26" s="276">
        <f t="shared" si="10"/>
        <v>0</v>
      </c>
      <c r="G26" s="276">
        <f t="shared" si="10"/>
        <v>0</v>
      </c>
      <c r="H26" s="284">
        <f t="shared" si="10"/>
        <v>0</v>
      </c>
      <c r="I26" s="276">
        <f t="shared" si="10"/>
        <v>67.5</v>
      </c>
      <c r="J26" s="276">
        <f t="shared" si="10"/>
        <v>57.5</v>
      </c>
      <c r="K26" s="276">
        <f t="shared" si="10"/>
        <v>78</v>
      </c>
      <c r="L26" s="276">
        <f t="shared" si="10"/>
        <v>161</v>
      </c>
      <c r="M26" s="284">
        <f t="shared" si="10"/>
        <v>364</v>
      </c>
      <c r="N26" s="276">
        <f t="shared" si="10"/>
        <v>119</v>
      </c>
      <c r="O26" s="276">
        <f t="shared" si="10"/>
        <v>122</v>
      </c>
      <c r="P26" s="276">
        <f t="shared" si="10"/>
        <v>106</v>
      </c>
      <c r="Q26" s="276">
        <f t="shared" si="10"/>
        <v>507</v>
      </c>
      <c r="R26" s="284">
        <f t="shared" si="10"/>
        <v>855</v>
      </c>
      <c r="S26" s="276">
        <f t="shared" si="10"/>
        <v>0</v>
      </c>
      <c r="T26" s="276">
        <f t="shared" si="10"/>
        <v>0</v>
      </c>
      <c r="U26" s="276">
        <f t="shared" si="10"/>
        <v>0</v>
      </c>
      <c r="V26" s="276">
        <f t="shared" si="10"/>
        <v>-227.23050661764719</v>
      </c>
      <c r="W26" s="285">
        <f t="shared" si="10"/>
        <v>-227.23050661764719</v>
      </c>
      <c r="X26" s="276">
        <f t="shared" si="10"/>
        <v>0</v>
      </c>
      <c r="Y26" s="276">
        <f t="shared" si="10"/>
        <v>0</v>
      </c>
      <c r="Z26" s="276">
        <f t="shared" si="10"/>
        <v>0</v>
      </c>
      <c r="AA26" s="276">
        <f t="shared" si="10"/>
        <v>-99.999999999999943</v>
      </c>
      <c r="AB26" s="285">
        <f t="shared" si="10"/>
        <v>-99.999999999999943</v>
      </c>
      <c r="AC26" s="276">
        <f t="shared" si="10"/>
        <v>0</v>
      </c>
      <c r="AD26" s="276">
        <f t="shared" si="10"/>
        <v>0</v>
      </c>
      <c r="AE26" s="276">
        <f t="shared" si="10"/>
        <v>0</v>
      </c>
      <c r="AF26" s="276">
        <f t="shared" si="10"/>
        <v>-55.00000000000005</v>
      </c>
      <c r="AG26" s="285">
        <f t="shared" si="10"/>
        <v>-55.00000000000005</v>
      </c>
      <c r="AH26" s="276">
        <f t="shared" si="10"/>
        <v>0</v>
      </c>
      <c r="AI26" s="276">
        <f t="shared" si="10"/>
        <v>0</v>
      </c>
      <c r="AJ26" s="276">
        <f t="shared" si="10"/>
        <v>0</v>
      </c>
      <c r="AK26" s="276">
        <f t="shared" si="10"/>
        <v>-55.00000000000005</v>
      </c>
      <c r="AL26" s="285">
        <f t="shared" si="10"/>
        <v>-55.00000000000005</v>
      </c>
      <c r="AM26" s="276">
        <f t="shared" si="10"/>
        <v>0</v>
      </c>
      <c r="AN26" s="276">
        <f t="shared" si="10"/>
        <v>0</v>
      </c>
      <c r="AO26" s="276">
        <f t="shared" si="10"/>
        <v>0</v>
      </c>
      <c r="AP26" s="276">
        <f t="shared" si="10"/>
        <v>-55.00000000000005</v>
      </c>
      <c r="AQ26" s="285">
        <f t="shared" si="10"/>
        <v>-55.00000000000005</v>
      </c>
    </row>
    <row r="27" spans="2:43" s="267" customFormat="1" outlineLevel="1" x14ac:dyDescent="0.25">
      <c r="B27" s="268" t="s">
        <v>325</v>
      </c>
      <c r="C27" s="269"/>
      <c r="D27" s="270">
        <f t="shared" ref="D27:AQ27" si="11">+D25+D26</f>
        <v>1144</v>
      </c>
      <c r="E27" s="270">
        <f t="shared" si="11"/>
        <v>1137</v>
      </c>
      <c r="F27" s="270">
        <f t="shared" si="11"/>
        <v>864</v>
      </c>
      <c r="G27" s="270">
        <f t="shared" si="11"/>
        <v>-68</v>
      </c>
      <c r="H27" s="271">
        <f t="shared" si="11"/>
        <v>3077</v>
      </c>
      <c r="I27" s="270">
        <f t="shared" si="11"/>
        <v>1331.5</v>
      </c>
      <c r="J27" s="270">
        <f t="shared" si="11"/>
        <v>1224.5</v>
      </c>
      <c r="K27" s="270">
        <f t="shared" si="11"/>
        <v>1103</v>
      </c>
      <c r="L27" s="270">
        <f t="shared" si="11"/>
        <v>1742</v>
      </c>
      <c r="M27" s="271">
        <f t="shared" si="11"/>
        <v>5401</v>
      </c>
      <c r="N27" s="270">
        <f t="shared" si="11"/>
        <v>1236</v>
      </c>
      <c r="O27" s="270">
        <f t="shared" si="11"/>
        <v>1384</v>
      </c>
      <c r="P27" s="270">
        <f t="shared" si="11"/>
        <v>1107</v>
      </c>
      <c r="Q27" s="270">
        <f t="shared" si="11"/>
        <v>1997.1257859999969</v>
      </c>
      <c r="R27" s="271">
        <f t="shared" si="11"/>
        <v>5725.1257859999969</v>
      </c>
      <c r="S27" s="270">
        <f>+S25+S26</f>
        <v>2016.7003512545798</v>
      </c>
      <c r="T27" s="270">
        <f t="shared" si="11"/>
        <v>2235.5885487475807</v>
      </c>
      <c r="U27" s="270">
        <f t="shared" si="11"/>
        <v>2278.7570010673098</v>
      </c>
      <c r="V27" s="270">
        <f t="shared" si="11"/>
        <v>2497.4044059651546</v>
      </c>
      <c r="W27" s="272">
        <f t="shared" si="11"/>
        <v>9028.4503070346273</v>
      </c>
      <c r="X27" s="270">
        <f t="shared" si="11"/>
        <v>2309.8137675782109</v>
      </c>
      <c r="Y27" s="270">
        <f t="shared" si="11"/>
        <v>2583.5630000982819</v>
      </c>
      <c r="Z27" s="270">
        <f t="shared" si="11"/>
        <v>2648.0143569792999</v>
      </c>
      <c r="AA27" s="270">
        <f t="shared" si="11"/>
        <v>2831.9592832709131</v>
      </c>
      <c r="AB27" s="272">
        <f t="shared" si="11"/>
        <v>10373.35040792673</v>
      </c>
      <c r="AC27" s="270">
        <f t="shared" si="11"/>
        <v>2656.7792056703438</v>
      </c>
      <c r="AD27" s="270">
        <f t="shared" si="11"/>
        <v>2964.0775815886882</v>
      </c>
      <c r="AE27" s="270">
        <f t="shared" si="11"/>
        <v>3032.5325670256934</v>
      </c>
      <c r="AF27" s="270">
        <f t="shared" si="11"/>
        <v>3229.0260560768475</v>
      </c>
      <c r="AG27" s="272">
        <f t="shared" si="11"/>
        <v>11882.415410361573</v>
      </c>
      <c r="AH27" s="270">
        <f t="shared" si="11"/>
        <v>3042.8803692564506</v>
      </c>
      <c r="AI27" s="270">
        <f t="shared" si="11"/>
        <v>3384.1776698172507</v>
      </c>
      <c r="AJ27" s="270">
        <f t="shared" si="11"/>
        <v>3458.7682876676699</v>
      </c>
      <c r="AK27" s="270">
        <f t="shared" si="11"/>
        <v>3678.0651283265943</v>
      </c>
      <c r="AL27" s="272">
        <f t="shared" si="11"/>
        <v>13563.891455067962</v>
      </c>
      <c r="AM27" s="270">
        <f t="shared" si="11"/>
        <v>3473.504941994117</v>
      </c>
      <c r="AN27" s="270">
        <f t="shared" si="11"/>
        <v>3852.9320529075558</v>
      </c>
      <c r="AO27" s="270">
        <f t="shared" si="11"/>
        <v>3934.3273798269111</v>
      </c>
      <c r="AP27" s="270">
        <f t="shared" si="11"/>
        <v>4178.9563794956084</v>
      </c>
      <c r="AQ27" s="272">
        <f t="shared" si="11"/>
        <v>15439.720754224196</v>
      </c>
    </row>
    <row r="28" spans="2:43" x14ac:dyDescent="0.25">
      <c r="B28" s="72" t="s">
        <v>132</v>
      </c>
      <c r="C28" s="74"/>
      <c r="D28" s="86"/>
      <c r="E28" s="86"/>
      <c r="F28" s="86"/>
      <c r="G28" s="86"/>
      <c r="H28" s="87"/>
      <c r="I28" s="86"/>
      <c r="J28" s="86"/>
      <c r="K28" s="86"/>
      <c r="L28" s="86"/>
      <c r="M28" s="87"/>
      <c r="N28" s="86"/>
      <c r="O28" s="86"/>
      <c r="P28" s="86"/>
      <c r="Q28" s="86"/>
      <c r="R28" s="87"/>
      <c r="S28" s="485"/>
      <c r="T28" s="86"/>
      <c r="U28" s="86"/>
      <c r="V28" s="86"/>
      <c r="W28" s="85"/>
      <c r="X28" s="86"/>
      <c r="Y28" s="86"/>
      <c r="Z28" s="86"/>
      <c r="AA28" s="86"/>
      <c r="AB28" s="85"/>
      <c r="AC28" s="86"/>
      <c r="AD28" s="86"/>
      <c r="AE28" s="86"/>
      <c r="AF28" s="86"/>
      <c r="AG28" s="85"/>
      <c r="AH28" s="86"/>
      <c r="AI28" s="86"/>
      <c r="AJ28" s="86"/>
      <c r="AK28" s="86"/>
      <c r="AL28" s="85"/>
      <c r="AM28" s="86"/>
      <c r="AN28" s="86"/>
      <c r="AO28" s="86"/>
      <c r="AP28" s="86"/>
      <c r="AQ28" s="85"/>
    </row>
    <row r="29" spans="2:43" outlineLevel="1" x14ac:dyDescent="0.25">
      <c r="B29" s="577" t="s">
        <v>307</v>
      </c>
      <c r="C29" s="578"/>
      <c r="D29" s="77"/>
      <c r="E29" s="77"/>
      <c r="F29" s="77"/>
      <c r="G29" s="77"/>
      <c r="H29" s="89">
        <v>-336</v>
      </c>
      <c r="I29" s="77"/>
      <c r="J29" s="77"/>
      <c r="K29" s="77"/>
      <c r="L29" s="77"/>
      <c r="M29" s="89">
        <v>-512</v>
      </c>
      <c r="N29" s="77"/>
      <c r="O29" s="77"/>
      <c r="P29" s="77"/>
      <c r="Q29" s="77"/>
      <c r="R29" s="89">
        <v>-558</v>
      </c>
      <c r="S29" s="77">
        <f>+(Q257+Q258+Q263)*S223/4</f>
        <v>-146.82113846934891</v>
      </c>
      <c r="T29" s="77">
        <f>+(S257+S258+S263)*T223/4</f>
        <v>-155.37899347933302</v>
      </c>
      <c r="U29" s="77">
        <f>+(T257+T258+T263)*U223/4</f>
        <v>-164.85819255701219</v>
      </c>
      <c r="V29" s="77">
        <f>+(U257+U258+U263)*V223/4</f>
        <v>-174.33084266446517</v>
      </c>
      <c r="W29" s="71">
        <f>SUM(S29:V29)</f>
        <v>-641.38916717015934</v>
      </c>
      <c r="X29" s="77">
        <f>+(V257+V258+V263)*X223/4</f>
        <v>-179.33315918822333</v>
      </c>
      <c r="Y29" s="77">
        <f>+(X257+X258+X263)*Y223/4</f>
        <v>-188.74987848916561</v>
      </c>
      <c r="Z29" s="77">
        <f>+(Y257+Y258+Y263)*Z223/4</f>
        <v>-199.55064977896322</v>
      </c>
      <c r="AA29" s="77">
        <f>+(Z257+Z258+Z263)*AA223/4</f>
        <v>-210.63885031951475</v>
      </c>
      <c r="AB29" s="71">
        <f>SUM(X29:AA29)</f>
        <v>-778.27253777586691</v>
      </c>
      <c r="AC29" s="77">
        <f>+(AA257+AA258+AA263)*AC223/4</f>
        <v>-215.79675893339902</v>
      </c>
      <c r="AD29" s="77">
        <f>+(AC257+AC258+AC263)*AD223/4</f>
        <v>-226.55205748840376</v>
      </c>
      <c r="AE29" s="77">
        <f>+(AD257+AD258+AD263)*AE223/4</f>
        <v>-238.8793511512624</v>
      </c>
      <c r="AF29" s="77">
        <f>+(AE257+AE258+AE263)*AF223/4</f>
        <v>-251.52849966640804</v>
      </c>
      <c r="AG29" s="71">
        <f>SUM(AC29:AF29)</f>
        <v>-932.75666723947324</v>
      </c>
      <c r="AH29" s="77">
        <f>+(AF257+AF258+AF263)*AH223/4</f>
        <v>-257.2582611486834</v>
      </c>
      <c r="AI29" s="77">
        <f>+(AH257+AH258+AH263)*AI223/4</f>
        <v>-269.52125245609619</v>
      </c>
      <c r="AJ29" s="77">
        <f>+(AI257+AI258+AI263)*AJ223/4</f>
        <v>-283.49025025312756</v>
      </c>
      <c r="AK29" s="77">
        <f>+(AJ257+AJ258+AJ263)*AK223/4</f>
        <v>-297.79913891375782</v>
      </c>
      <c r="AL29" s="71">
        <f>SUM(AH29:AK29)</f>
        <v>-1108.0689027716649</v>
      </c>
      <c r="AM29" s="77">
        <f>+(AK257+AK258+AK263)*AM223/4</f>
        <v>-304.30054456585287</v>
      </c>
      <c r="AN29" s="77">
        <f>+(AM257+AM258+AM263)*AN223/4</f>
        <v>-318.20340897119087</v>
      </c>
      <c r="AO29" s="77">
        <f>+(AN257+AN258+AN263)*AO223/4</f>
        <v>-333.94863023033702</v>
      </c>
      <c r="AP29" s="77">
        <f>+(AO257+AO258+AO263)*AP223/4</f>
        <v>-350.05119479273526</v>
      </c>
      <c r="AQ29" s="71">
        <f>SUM(AM29:AP29)</f>
        <v>-1306.5037785601162</v>
      </c>
    </row>
    <row r="30" spans="2:43" ht="17.25" outlineLevel="1" x14ac:dyDescent="0.4">
      <c r="B30" s="304" t="s">
        <v>308</v>
      </c>
      <c r="C30" s="305"/>
      <c r="D30" s="77"/>
      <c r="E30" s="77"/>
      <c r="F30" s="77"/>
      <c r="G30" s="77"/>
      <c r="H30" s="130">
        <v>21</v>
      </c>
      <c r="I30" s="77"/>
      <c r="J30" s="77"/>
      <c r="K30" s="77"/>
      <c r="L30" s="77"/>
      <c r="M30" s="130">
        <v>33</v>
      </c>
      <c r="N30" s="77"/>
      <c r="O30" s="77"/>
      <c r="P30" s="77"/>
      <c r="Q30" s="77"/>
      <c r="R30" s="130">
        <v>48</v>
      </c>
      <c r="S30" s="78">
        <f>+(Q244)*S222/4</f>
        <v>10.832410326020831</v>
      </c>
      <c r="T30" s="78">
        <f>+(S244)*T222/4</f>
        <v>15.507655160919331</v>
      </c>
      <c r="U30" s="78">
        <f>+(T244)*U222/4</f>
        <v>20.729852825886091</v>
      </c>
      <c r="V30" s="78">
        <f>+(U244)*V222/4</f>
        <v>26.050153203927007</v>
      </c>
      <c r="W30" s="76">
        <f>SUM(S30:V30)</f>
        <v>73.120071516753256</v>
      </c>
      <c r="X30" s="78">
        <f>+(V244)*X222/4</f>
        <v>27.41491854851218</v>
      </c>
      <c r="Y30" s="78">
        <f>+(X244)*Y222/4</f>
        <v>31.953049473126828</v>
      </c>
      <c r="Z30" s="78">
        <f>+(Y244)*Z222/4</f>
        <v>37.058193491454567</v>
      </c>
      <c r="AA30" s="78">
        <f>+(Z244)*AA222/4</f>
        <v>42.287002001269883</v>
      </c>
      <c r="AB30" s="76">
        <f>SUM(X30:AA30)</f>
        <v>138.71316351436346</v>
      </c>
      <c r="AC30" s="78">
        <f>+(AA244)*AC222/4</f>
        <v>44.177383086154741</v>
      </c>
      <c r="AD30" s="78">
        <f>+(AC244)*AD222/4</f>
        <v>48.978465477926925</v>
      </c>
      <c r="AE30" s="78">
        <f>+(AD244)*AE222/4</f>
        <v>54.361349449406902</v>
      </c>
      <c r="AF30" s="78">
        <f>+(AE244)*AF222/4</f>
        <v>59.862912159433115</v>
      </c>
      <c r="AG30" s="76">
        <f>SUM(AC30:AF30)</f>
        <v>207.38011017292166</v>
      </c>
      <c r="AH30" s="78">
        <f>+(AF244)*AH222/4</f>
        <v>62.051833788467263</v>
      </c>
      <c r="AI30" s="78">
        <f>+(AH244)*AI222/4</f>
        <v>67.236455901657777</v>
      </c>
      <c r="AJ30" s="78">
        <f>+(AI244)*AJ222/4</f>
        <v>73.028903592756123</v>
      </c>
      <c r="AK30" s="78">
        <f>+(AJ244)*AK222/4</f>
        <v>78.942111982876511</v>
      </c>
      <c r="AL30" s="76">
        <f>SUM(AH30:AK30)</f>
        <v>281.25930526575769</v>
      </c>
      <c r="AM30" s="78">
        <f>+(AK244)*AM222/4</f>
        <v>81.424222051451707</v>
      </c>
      <c r="AN30" s="78">
        <f>+(AM244)*AN222/4</f>
        <v>87.070196159761878</v>
      </c>
      <c r="AO30" s="78">
        <f>+(AN244)*AO222/4</f>
        <v>93.360169062148813</v>
      </c>
      <c r="AP30" s="78">
        <f>+(AO244)*AP222/4</f>
        <v>99.774956192568595</v>
      </c>
      <c r="AQ30" s="76">
        <f>SUM(AM30:AP30)</f>
        <v>361.62954346593102</v>
      </c>
    </row>
    <row r="31" spans="2:43" s="32" customFormat="1" outlineLevel="1" x14ac:dyDescent="0.25">
      <c r="B31" s="247" t="s">
        <v>309</v>
      </c>
      <c r="C31" s="297"/>
      <c r="D31" s="86">
        <v>-63</v>
      </c>
      <c r="E31" s="86">
        <v>-74</v>
      </c>
      <c r="F31" s="86">
        <v>-81</v>
      </c>
      <c r="G31" s="86">
        <v>-97</v>
      </c>
      <c r="H31" s="87">
        <f>SUM(H29:H30)</f>
        <v>-315</v>
      </c>
      <c r="I31" s="86">
        <v>-113</v>
      </c>
      <c r="J31" s="86">
        <v>-119</v>
      </c>
      <c r="K31" s="86">
        <v>-122</v>
      </c>
      <c r="L31" s="86">
        <v>-125</v>
      </c>
      <c r="M31" s="87">
        <f>SUM(M29:M30)</f>
        <v>-479</v>
      </c>
      <c r="N31" s="86">
        <v>-114</v>
      </c>
      <c r="O31" s="86">
        <v>-124</v>
      </c>
      <c r="P31" s="86">
        <v>-125</v>
      </c>
      <c r="Q31" s="86">
        <v>-147</v>
      </c>
      <c r="R31" s="87">
        <f t="shared" ref="R31:AQ31" si="12">SUM(R29:R30)</f>
        <v>-510</v>
      </c>
      <c r="S31" s="86">
        <f t="shared" si="12"/>
        <v>-135.98872814332807</v>
      </c>
      <c r="T31" s="86">
        <f t="shared" si="12"/>
        <v>-139.87133831841368</v>
      </c>
      <c r="U31" s="86">
        <f t="shared" si="12"/>
        <v>-144.12833973112609</v>
      </c>
      <c r="V31" s="86">
        <f t="shared" si="12"/>
        <v>-148.28068946053816</v>
      </c>
      <c r="W31" s="85">
        <f t="shared" si="12"/>
        <v>-568.26909565340611</v>
      </c>
      <c r="X31" s="86">
        <f t="shared" si="12"/>
        <v>-151.91824063971114</v>
      </c>
      <c r="Y31" s="86">
        <f t="shared" si="12"/>
        <v>-156.79682901603877</v>
      </c>
      <c r="Z31" s="86">
        <f t="shared" si="12"/>
        <v>-162.49245628750865</v>
      </c>
      <c r="AA31" s="86">
        <f t="shared" si="12"/>
        <v>-168.35184831824486</v>
      </c>
      <c r="AB31" s="85">
        <f t="shared" si="12"/>
        <v>-639.55937426150342</v>
      </c>
      <c r="AC31" s="86">
        <f t="shared" si="12"/>
        <v>-171.61937584724427</v>
      </c>
      <c r="AD31" s="86">
        <f t="shared" si="12"/>
        <v>-177.57359201047683</v>
      </c>
      <c r="AE31" s="86">
        <f t="shared" si="12"/>
        <v>-184.5180017018555</v>
      </c>
      <c r="AF31" s="86">
        <f t="shared" si="12"/>
        <v>-191.66558750697493</v>
      </c>
      <c r="AG31" s="85">
        <f t="shared" si="12"/>
        <v>-725.37655706655164</v>
      </c>
      <c r="AH31" s="86">
        <f t="shared" si="12"/>
        <v>-195.20642736021614</v>
      </c>
      <c r="AI31" s="86">
        <f t="shared" si="12"/>
        <v>-202.2847965544384</v>
      </c>
      <c r="AJ31" s="86">
        <f t="shared" si="12"/>
        <v>-210.46134666037142</v>
      </c>
      <c r="AK31" s="86">
        <f t="shared" si="12"/>
        <v>-218.85702693088132</v>
      </c>
      <c r="AL31" s="85">
        <f t="shared" si="12"/>
        <v>-826.80959750590716</v>
      </c>
      <c r="AM31" s="86">
        <f t="shared" si="12"/>
        <v>-222.87632251440118</v>
      </c>
      <c r="AN31" s="86">
        <f t="shared" si="12"/>
        <v>-231.13321281142899</v>
      </c>
      <c r="AO31" s="86">
        <f t="shared" si="12"/>
        <v>-240.58846116818819</v>
      </c>
      <c r="AP31" s="86">
        <f t="shared" si="12"/>
        <v>-250.27623860016666</v>
      </c>
      <c r="AQ31" s="85">
        <f t="shared" si="12"/>
        <v>-944.87423509418522</v>
      </c>
    </row>
    <row r="32" spans="2:43" ht="17.25" outlineLevel="1" x14ac:dyDescent="0.4">
      <c r="B32" s="577" t="s">
        <v>133</v>
      </c>
      <c r="C32" s="578"/>
      <c r="D32" s="78">
        <v>3</v>
      </c>
      <c r="E32" s="78">
        <v>-8</v>
      </c>
      <c r="F32" s="78">
        <v>-1</v>
      </c>
      <c r="G32" s="78">
        <v>-16</v>
      </c>
      <c r="H32" s="130">
        <f>SUM(D32:G32)</f>
        <v>-22</v>
      </c>
      <c r="I32" s="78">
        <v>-9</v>
      </c>
      <c r="J32" s="78">
        <v>30</v>
      </c>
      <c r="K32" s="78">
        <v>-4</v>
      </c>
      <c r="L32" s="78">
        <v>4</v>
      </c>
      <c r="M32" s="130">
        <f>SUM(I32:L32)</f>
        <v>21</v>
      </c>
      <c r="N32" s="78">
        <v>-21</v>
      </c>
      <c r="O32" s="78">
        <v>1</v>
      </c>
      <c r="P32" s="78">
        <v>-2</v>
      </c>
      <c r="Q32" s="176">
        <v>15</v>
      </c>
      <c r="R32" s="130">
        <f>SUM(N32:Q32)</f>
        <v>-7</v>
      </c>
      <c r="S32" s="196">
        <f>AVERAGE(Q32,P32,O32,N32)</f>
        <v>-1.75</v>
      </c>
      <c r="T32" s="196">
        <f>AVERAGE(S32,Q32,P32,O32)</f>
        <v>3.0625</v>
      </c>
      <c r="U32" s="196">
        <f>AVERAGE(T32,S32,Q32,P32)</f>
        <v>3.578125</v>
      </c>
      <c r="V32" s="196">
        <f>AVERAGE(U32,T32,S32,Q32)</f>
        <v>4.97265625</v>
      </c>
      <c r="W32" s="76">
        <f>SUM(S32:V32)</f>
        <v>9.86328125</v>
      </c>
      <c r="X32" s="196">
        <f>AVERAGE(V32,U32,T32,S32)</f>
        <v>2.4658203125</v>
      </c>
      <c r="Y32" s="196">
        <f>AVERAGE(X32,V32,U32,T32)</f>
        <v>3.519775390625</v>
      </c>
      <c r="Z32" s="196">
        <f>AVERAGE(Y32,X32,V32,U32)</f>
        <v>3.63409423828125</v>
      </c>
      <c r="AA32" s="196">
        <f>AVERAGE(Z32,Y32,X32,V32)</f>
        <v>3.6480865478515625</v>
      </c>
      <c r="AB32" s="76">
        <f>SUM(X32:AA32)</f>
        <v>13.267776489257813</v>
      </c>
      <c r="AC32" s="196">
        <f>AVERAGE(AA32,Z32,Y32,X32)</f>
        <v>3.3169441223144531</v>
      </c>
      <c r="AD32" s="196">
        <f>AVERAGE(AC32,AA32,Z32,Y32)</f>
        <v>3.5297250747680664</v>
      </c>
      <c r="AE32" s="196">
        <f>AVERAGE(AD32,AC32,AA32,Z32)</f>
        <v>3.532212495803833</v>
      </c>
      <c r="AF32" s="196">
        <f>AVERAGE(AE32,AD32,AC32,AA32)</f>
        <v>3.5067420601844788</v>
      </c>
      <c r="AG32" s="76">
        <f>SUM(AC32:AF32)</f>
        <v>13.885623753070831</v>
      </c>
      <c r="AH32" s="196">
        <f>AVERAGE(AF32,AE32,AD32,AC32)</f>
        <v>3.4714059382677078</v>
      </c>
      <c r="AI32" s="196">
        <f>AVERAGE(AH32,AF32,AE32,AD32)</f>
        <v>3.5100213922560215</v>
      </c>
      <c r="AJ32" s="196">
        <f>AVERAGE(AI32,AH32,AF32,AE32)</f>
        <v>3.5050954716280103</v>
      </c>
      <c r="AK32" s="196">
        <f>AVERAGE(AJ32,AI32,AH32,AF32)</f>
        <v>3.4983162155840546</v>
      </c>
      <c r="AL32" s="76">
        <f>SUM(AH32:AK32)</f>
        <v>13.984839017735794</v>
      </c>
      <c r="AM32" s="196">
        <f>AVERAGE(AK32,AJ32,AI32,AH32)</f>
        <v>3.4962097544339485</v>
      </c>
      <c r="AN32" s="196">
        <f>AVERAGE(AM32,AK32,AJ32,AI32)</f>
        <v>3.5024107084755087</v>
      </c>
      <c r="AO32" s="196">
        <f>AVERAGE(AN32,AM32,AK32,AJ32)</f>
        <v>3.5005080375303805</v>
      </c>
      <c r="AP32" s="196">
        <f>AVERAGE(AO32,AN32,AM32,AK32)</f>
        <v>3.4993611790059731</v>
      </c>
      <c r="AQ32" s="76">
        <f>SUM(AM32:AP32)</f>
        <v>13.998489679445811</v>
      </c>
    </row>
    <row r="33" spans="1:43" ht="17.25" x14ac:dyDescent="0.4">
      <c r="B33" s="287" t="s">
        <v>69</v>
      </c>
      <c r="C33" s="286"/>
      <c r="D33" s="78">
        <f t="shared" ref="D33:AQ33" si="13">SUM(D31:D32)</f>
        <v>-60</v>
      </c>
      <c r="E33" s="78">
        <f t="shared" si="13"/>
        <v>-82</v>
      </c>
      <c r="F33" s="78">
        <f t="shared" si="13"/>
        <v>-82</v>
      </c>
      <c r="G33" s="78">
        <f t="shared" si="13"/>
        <v>-113</v>
      </c>
      <c r="H33" s="130">
        <f t="shared" si="13"/>
        <v>-337</v>
      </c>
      <c r="I33" s="78">
        <f t="shared" si="13"/>
        <v>-122</v>
      </c>
      <c r="J33" s="78">
        <f t="shared" si="13"/>
        <v>-89</v>
      </c>
      <c r="K33" s="78">
        <f t="shared" si="13"/>
        <v>-126</v>
      </c>
      <c r="L33" s="78">
        <f t="shared" si="13"/>
        <v>-121</v>
      </c>
      <c r="M33" s="130">
        <f t="shared" si="13"/>
        <v>-458</v>
      </c>
      <c r="N33" s="78">
        <f t="shared" si="13"/>
        <v>-135</v>
      </c>
      <c r="O33" s="78">
        <f t="shared" si="13"/>
        <v>-123</v>
      </c>
      <c r="P33" s="78">
        <f t="shared" si="13"/>
        <v>-127</v>
      </c>
      <c r="Q33" s="78">
        <f t="shared" si="13"/>
        <v>-132</v>
      </c>
      <c r="R33" s="130">
        <f t="shared" si="13"/>
        <v>-517</v>
      </c>
      <c r="S33" s="75">
        <f t="shared" si="13"/>
        <v>-137.73872814332807</v>
      </c>
      <c r="T33" s="75">
        <f t="shared" si="13"/>
        <v>-136.80883831841368</v>
      </c>
      <c r="U33" s="75">
        <f t="shared" si="13"/>
        <v>-140.55021473112609</v>
      </c>
      <c r="V33" s="75">
        <f t="shared" si="13"/>
        <v>-143.30803321053816</v>
      </c>
      <c r="W33" s="76">
        <f t="shared" si="13"/>
        <v>-558.40581440340611</v>
      </c>
      <c r="X33" s="75">
        <f t="shared" si="13"/>
        <v>-149.45242032721114</v>
      </c>
      <c r="Y33" s="75">
        <f t="shared" si="13"/>
        <v>-153.27705362541377</v>
      </c>
      <c r="Z33" s="75">
        <f t="shared" si="13"/>
        <v>-158.8583620492274</v>
      </c>
      <c r="AA33" s="75">
        <f t="shared" si="13"/>
        <v>-164.7037617703933</v>
      </c>
      <c r="AB33" s="76">
        <f t="shared" si="13"/>
        <v>-626.29159777224561</v>
      </c>
      <c r="AC33" s="75">
        <f t="shared" si="13"/>
        <v>-168.30243172492982</v>
      </c>
      <c r="AD33" s="75">
        <f t="shared" si="13"/>
        <v>-174.04386693570876</v>
      </c>
      <c r="AE33" s="75">
        <f t="shared" si="13"/>
        <v>-180.98578920605166</v>
      </c>
      <c r="AF33" s="75">
        <f t="shared" si="13"/>
        <v>-188.15884544679045</v>
      </c>
      <c r="AG33" s="76">
        <f t="shared" si="13"/>
        <v>-711.49093331348081</v>
      </c>
      <c r="AH33" s="75">
        <f t="shared" si="13"/>
        <v>-191.73502142194843</v>
      </c>
      <c r="AI33" s="75">
        <f t="shared" si="13"/>
        <v>-198.77477516218238</v>
      </c>
      <c r="AJ33" s="75">
        <f t="shared" si="13"/>
        <v>-206.95625118874341</v>
      </c>
      <c r="AK33" s="75">
        <f t="shared" si="13"/>
        <v>-215.35871071529726</v>
      </c>
      <c r="AL33" s="76">
        <f t="shared" si="13"/>
        <v>-812.82475848817137</v>
      </c>
      <c r="AM33" s="75">
        <f t="shared" si="13"/>
        <v>-219.38011275996723</v>
      </c>
      <c r="AN33" s="75">
        <f t="shared" si="13"/>
        <v>-227.63080210295348</v>
      </c>
      <c r="AO33" s="75">
        <f t="shared" si="13"/>
        <v>-237.08795313065781</v>
      </c>
      <c r="AP33" s="75">
        <f t="shared" si="13"/>
        <v>-246.77687742116069</v>
      </c>
      <c r="AQ33" s="76">
        <f t="shared" si="13"/>
        <v>-930.87574541473941</v>
      </c>
    </row>
    <row r="34" spans="1:43" x14ac:dyDescent="0.25">
      <c r="B34" s="575" t="s">
        <v>134</v>
      </c>
      <c r="C34" s="576"/>
      <c r="D34" s="86">
        <f t="shared" ref="D34:AQ34" si="14">D25+D33</f>
        <v>1084</v>
      </c>
      <c r="E34" s="86">
        <f t="shared" si="14"/>
        <v>1055</v>
      </c>
      <c r="F34" s="86">
        <f t="shared" si="14"/>
        <v>782</v>
      </c>
      <c r="G34" s="86">
        <f t="shared" si="14"/>
        <v>-181</v>
      </c>
      <c r="H34" s="87">
        <f t="shared" si="14"/>
        <v>2740</v>
      </c>
      <c r="I34" s="86">
        <f t="shared" si="14"/>
        <v>1142</v>
      </c>
      <c r="J34" s="86">
        <f t="shared" si="14"/>
        <v>1078</v>
      </c>
      <c r="K34" s="86">
        <f t="shared" si="14"/>
        <v>899</v>
      </c>
      <c r="L34" s="86">
        <f t="shared" si="14"/>
        <v>1460</v>
      </c>
      <c r="M34" s="87">
        <f t="shared" si="14"/>
        <v>4579</v>
      </c>
      <c r="N34" s="86">
        <f t="shared" si="14"/>
        <v>982</v>
      </c>
      <c r="O34" s="86">
        <f t="shared" si="14"/>
        <v>1139</v>
      </c>
      <c r="P34" s="86">
        <f t="shared" si="14"/>
        <v>874</v>
      </c>
      <c r="Q34" s="86">
        <f t="shared" si="14"/>
        <v>1358.1257859999969</v>
      </c>
      <c r="R34" s="87">
        <f t="shared" si="14"/>
        <v>4353.1257859999969</v>
      </c>
      <c r="S34" s="84">
        <f t="shared" si="14"/>
        <v>1878.9616231112518</v>
      </c>
      <c r="T34" s="84">
        <f t="shared" si="14"/>
        <v>2098.7797104291672</v>
      </c>
      <c r="U34" s="84">
        <f t="shared" si="14"/>
        <v>2138.2067863361835</v>
      </c>
      <c r="V34" s="84">
        <f t="shared" si="14"/>
        <v>2581.3268793722636</v>
      </c>
      <c r="W34" s="85">
        <f t="shared" si="14"/>
        <v>8697.274999248868</v>
      </c>
      <c r="X34" s="84">
        <f t="shared" si="14"/>
        <v>2160.3613472509996</v>
      </c>
      <c r="Y34" s="84">
        <f t="shared" si="14"/>
        <v>2430.2859464728681</v>
      </c>
      <c r="Z34" s="84">
        <f t="shared" si="14"/>
        <v>2489.1559949300727</v>
      </c>
      <c r="AA34" s="84">
        <f t="shared" si="14"/>
        <v>2767.25552150052</v>
      </c>
      <c r="AB34" s="85">
        <f t="shared" si="14"/>
        <v>9847.0588101544836</v>
      </c>
      <c r="AC34" s="84">
        <f t="shared" si="14"/>
        <v>2488.4767739454142</v>
      </c>
      <c r="AD34" s="84">
        <f t="shared" si="14"/>
        <v>2790.0337146529796</v>
      </c>
      <c r="AE34" s="84">
        <f t="shared" si="14"/>
        <v>2851.5467778196416</v>
      </c>
      <c r="AF34" s="84">
        <f t="shared" si="14"/>
        <v>3095.8672106300569</v>
      </c>
      <c r="AG34" s="85">
        <f t="shared" si="14"/>
        <v>11225.924477048093</v>
      </c>
      <c r="AH34" s="84">
        <f t="shared" si="14"/>
        <v>2851.145347834502</v>
      </c>
      <c r="AI34" s="84">
        <f t="shared" si="14"/>
        <v>3185.4028946550684</v>
      </c>
      <c r="AJ34" s="84">
        <f t="shared" si="14"/>
        <v>3251.8120364789265</v>
      </c>
      <c r="AK34" s="84">
        <f t="shared" si="14"/>
        <v>3517.7064176112972</v>
      </c>
      <c r="AL34" s="85">
        <f t="shared" si="14"/>
        <v>12806.06669657979</v>
      </c>
      <c r="AM34" s="84">
        <f t="shared" si="14"/>
        <v>3254.1248292341497</v>
      </c>
      <c r="AN34" s="84">
        <f t="shared" si="14"/>
        <v>3625.3012508046022</v>
      </c>
      <c r="AO34" s="84">
        <f t="shared" si="14"/>
        <v>3697.2394266962533</v>
      </c>
      <c r="AP34" s="84">
        <f t="shared" si="14"/>
        <v>3987.1795020744476</v>
      </c>
      <c r="AQ34" s="85">
        <f t="shared" si="14"/>
        <v>14563.845008809456</v>
      </c>
    </row>
    <row r="35" spans="1:43" s="260" customFormat="1" outlineLevel="1" x14ac:dyDescent="0.25">
      <c r="B35" s="261" t="s">
        <v>75</v>
      </c>
      <c r="C35" s="262"/>
      <c r="D35" s="263">
        <f t="shared" ref="D35:AQ35" si="15">+D34+D307</f>
        <v>1732</v>
      </c>
      <c r="E35" s="263">
        <f t="shared" si="15"/>
        <v>1708</v>
      </c>
      <c r="F35" s="263">
        <f t="shared" si="15"/>
        <v>1445</v>
      </c>
      <c r="G35" s="263">
        <f t="shared" si="15"/>
        <v>486</v>
      </c>
      <c r="H35" s="264">
        <f t="shared" si="15"/>
        <v>5371</v>
      </c>
      <c r="I35" s="263">
        <f t="shared" si="15"/>
        <v>1881</v>
      </c>
      <c r="J35" s="263">
        <f t="shared" si="15"/>
        <v>1818</v>
      </c>
      <c r="K35" s="263">
        <f t="shared" si="15"/>
        <v>1661</v>
      </c>
      <c r="L35" s="263">
        <f t="shared" si="15"/>
        <v>2214</v>
      </c>
      <c r="M35" s="264">
        <f t="shared" si="15"/>
        <v>7574</v>
      </c>
      <c r="N35" s="263">
        <f t="shared" si="15"/>
        <v>1733</v>
      </c>
      <c r="O35" s="263">
        <f t="shared" si="15"/>
        <v>1895</v>
      </c>
      <c r="P35" s="263">
        <f t="shared" si="15"/>
        <v>1660</v>
      </c>
      <c r="Q35" s="263">
        <f t="shared" si="15"/>
        <v>2160.1257859999969</v>
      </c>
      <c r="R35" s="264">
        <f t="shared" si="15"/>
        <v>7448.1257859999969</v>
      </c>
      <c r="S35" s="263">
        <f t="shared" si="15"/>
        <v>1878.9616231112518</v>
      </c>
      <c r="T35" s="263">
        <f t="shared" si="15"/>
        <v>2098.7797104291672</v>
      </c>
      <c r="U35" s="263">
        <f t="shared" si="15"/>
        <v>2138.2067863361835</v>
      </c>
      <c r="V35" s="263">
        <f t="shared" si="15"/>
        <v>2581.3268793722636</v>
      </c>
      <c r="W35" s="264">
        <f t="shared" si="15"/>
        <v>8697.274999248868</v>
      </c>
      <c r="X35" s="263">
        <f t="shared" si="15"/>
        <v>2160.3613472509996</v>
      </c>
      <c r="Y35" s="263">
        <f t="shared" si="15"/>
        <v>2430.2859464728681</v>
      </c>
      <c r="Z35" s="263">
        <f t="shared" si="15"/>
        <v>2489.1559949300727</v>
      </c>
      <c r="AA35" s="263">
        <f t="shared" si="15"/>
        <v>2767.25552150052</v>
      </c>
      <c r="AB35" s="264">
        <f t="shared" si="15"/>
        <v>9847.0588101544836</v>
      </c>
      <c r="AC35" s="263">
        <f t="shared" si="15"/>
        <v>2488.4767739454142</v>
      </c>
      <c r="AD35" s="263">
        <f t="shared" si="15"/>
        <v>2790.0337146529796</v>
      </c>
      <c r="AE35" s="263">
        <f t="shared" si="15"/>
        <v>2851.5467778196416</v>
      </c>
      <c r="AF35" s="263">
        <f t="shared" si="15"/>
        <v>3095.8672106300569</v>
      </c>
      <c r="AG35" s="264">
        <f t="shared" si="15"/>
        <v>11225.924477048093</v>
      </c>
      <c r="AH35" s="263">
        <f t="shared" si="15"/>
        <v>2851.145347834502</v>
      </c>
      <c r="AI35" s="263">
        <f t="shared" si="15"/>
        <v>3185.4028946550684</v>
      </c>
      <c r="AJ35" s="263">
        <f t="shared" si="15"/>
        <v>3251.8120364789265</v>
      </c>
      <c r="AK35" s="263">
        <f t="shared" si="15"/>
        <v>3517.7064176112972</v>
      </c>
      <c r="AL35" s="264">
        <f t="shared" si="15"/>
        <v>12806.06669657979</v>
      </c>
      <c r="AM35" s="263">
        <f t="shared" si="15"/>
        <v>3254.1248292341497</v>
      </c>
      <c r="AN35" s="263">
        <f t="shared" si="15"/>
        <v>3625.3012508046022</v>
      </c>
      <c r="AO35" s="263">
        <f t="shared" si="15"/>
        <v>3697.2394266962533</v>
      </c>
      <c r="AP35" s="263">
        <f t="shared" si="15"/>
        <v>3987.1795020744476</v>
      </c>
      <c r="AQ35" s="264">
        <f t="shared" si="15"/>
        <v>14563.845008809456</v>
      </c>
    </row>
    <row r="36" spans="1:43" ht="17.25" x14ac:dyDescent="0.4">
      <c r="B36" s="538" t="s">
        <v>34</v>
      </c>
      <c r="C36" s="539"/>
      <c r="D36" s="78">
        <v>392</v>
      </c>
      <c r="E36" s="78">
        <v>364</v>
      </c>
      <c r="F36" s="78">
        <v>275</v>
      </c>
      <c r="G36" s="78">
        <v>-111</v>
      </c>
      <c r="H36" s="130">
        <f>SUM(D36:G36)</f>
        <v>920</v>
      </c>
      <c r="I36" s="78">
        <v>427</v>
      </c>
      <c r="J36" s="78">
        <v>378</v>
      </c>
      <c r="K36" s="78">
        <v>337</v>
      </c>
      <c r="L36" s="78">
        <v>440</v>
      </c>
      <c r="M36" s="130">
        <f>SUM(I36:L36)</f>
        <v>1582</v>
      </c>
      <c r="N36" s="78">
        <v>386</v>
      </c>
      <c r="O36" s="78">
        <v>364</v>
      </c>
      <c r="P36" s="78">
        <v>-1200</v>
      </c>
      <c r="Q36" s="78">
        <v>231</v>
      </c>
      <c r="R36" s="130">
        <f>SUM(N36:Q36)</f>
        <v>-219</v>
      </c>
      <c r="S36" s="78">
        <f>S34*S221</f>
        <v>469.74040577781295</v>
      </c>
      <c r="T36" s="78">
        <f>T34*T221</f>
        <v>524.69492760729179</v>
      </c>
      <c r="U36" s="78">
        <f>U34*U221</f>
        <v>534.55169658404589</v>
      </c>
      <c r="V36" s="78">
        <f>V34*V221</f>
        <v>645.33171984306591</v>
      </c>
      <c r="W36" s="76">
        <f>SUM(S36:V36)</f>
        <v>2174.3187498122165</v>
      </c>
      <c r="X36" s="78">
        <f>X34*X221</f>
        <v>540.09033681274991</v>
      </c>
      <c r="Y36" s="78">
        <f>Y34*Y221</f>
        <v>607.57148661821702</v>
      </c>
      <c r="Z36" s="78">
        <f>Z34*Z221</f>
        <v>622.28899873251817</v>
      </c>
      <c r="AA36" s="78">
        <f>AA34*AA221</f>
        <v>691.81388037513</v>
      </c>
      <c r="AB36" s="76">
        <f>SUM(X36:AA36)</f>
        <v>2461.764702538615</v>
      </c>
      <c r="AC36" s="78">
        <f>AC34*AC221</f>
        <v>622.11919348635354</v>
      </c>
      <c r="AD36" s="78">
        <f>AD34*AD221</f>
        <v>697.5084286632449</v>
      </c>
      <c r="AE36" s="78">
        <f>AE34*AE221</f>
        <v>712.88669445491041</v>
      </c>
      <c r="AF36" s="78">
        <f>AF34*AF221</f>
        <v>773.96680265751422</v>
      </c>
      <c r="AG36" s="76">
        <f>SUM(AC36:AF36)</f>
        <v>2806.4811192620232</v>
      </c>
      <c r="AH36" s="78">
        <f>AH34*AH221</f>
        <v>712.7863369586255</v>
      </c>
      <c r="AI36" s="78">
        <f>AI34*AI221</f>
        <v>796.3507236637671</v>
      </c>
      <c r="AJ36" s="78">
        <f>AJ34*AJ221</f>
        <v>812.95300911973163</v>
      </c>
      <c r="AK36" s="78">
        <f>AK34*AK221</f>
        <v>879.4266044028243</v>
      </c>
      <c r="AL36" s="76">
        <f>SUM(AH36:AK36)</f>
        <v>3201.5166741449484</v>
      </c>
      <c r="AM36" s="78">
        <f>AM34*AM221</f>
        <v>813.53120730853743</v>
      </c>
      <c r="AN36" s="78">
        <f>AN34*AN221</f>
        <v>906.32531270115055</v>
      </c>
      <c r="AO36" s="78">
        <f>AO34*AO221</f>
        <v>924.30985667406333</v>
      </c>
      <c r="AP36" s="78">
        <f>AP34*AP221</f>
        <v>996.79487551861189</v>
      </c>
      <c r="AQ36" s="76">
        <f>SUM(AM36:AP36)</f>
        <v>3640.9612522023635</v>
      </c>
    </row>
    <row r="37" spans="1:43" x14ac:dyDescent="0.25">
      <c r="A37" s="88"/>
      <c r="B37" s="575" t="s">
        <v>45</v>
      </c>
      <c r="C37" s="576"/>
      <c r="D37" s="86">
        <f t="shared" ref="D37:AQ37" si="16">+D34-D36</f>
        <v>692</v>
      </c>
      <c r="E37" s="86">
        <f t="shared" si="16"/>
        <v>691</v>
      </c>
      <c r="F37" s="86">
        <f t="shared" si="16"/>
        <v>507</v>
      </c>
      <c r="G37" s="86">
        <f t="shared" si="16"/>
        <v>-70</v>
      </c>
      <c r="H37" s="87">
        <f t="shared" si="16"/>
        <v>1820</v>
      </c>
      <c r="I37" s="86">
        <f t="shared" si="16"/>
        <v>715</v>
      </c>
      <c r="J37" s="86">
        <f t="shared" si="16"/>
        <v>700</v>
      </c>
      <c r="K37" s="86">
        <f t="shared" si="16"/>
        <v>562</v>
      </c>
      <c r="L37" s="86">
        <f t="shared" si="16"/>
        <v>1020</v>
      </c>
      <c r="M37" s="87">
        <f t="shared" si="16"/>
        <v>2997</v>
      </c>
      <c r="N37" s="86">
        <f t="shared" si="16"/>
        <v>596</v>
      </c>
      <c r="O37" s="86">
        <f t="shared" si="16"/>
        <v>775</v>
      </c>
      <c r="P37" s="86">
        <f t="shared" si="16"/>
        <v>2074</v>
      </c>
      <c r="Q37" s="86">
        <f t="shared" si="16"/>
        <v>1127.1257859999969</v>
      </c>
      <c r="R37" s="87">
        <f t="shared" si="16"/>
        <v>4572.1257859999969</v>
      </c>
      <c r="S37" s="84">
        <f t="shared" si="16"/>
        <v>1409.2212173334387</v>
      </c>
      <c r="T37" s="84">
        <f t="shared" si="16"/>
        <v>1574.0847828218753</v>
      </c>
      <c r="U37" s="84">
        <f t="shared" si="16"/>
        <v>1603.6550897521377</v>
      </c>
      <c r="V37" s="84">
        <f t="shared" si="16"/>
        <v>1935.9951595291977</v>
      </c>
      <c r="W37" s="85">
        <f t="shared" si="16"/>
        <v>6522.956249436651</v>
      </c>
      <c r="X37" s="84">
        <f t="shared" si="16"/>
        <v>1620.2710104382497</v>
      </c>
      <c r="Y37" s="84">
        <f t="shared" si="16"/>
        <v>1822.7144598546511</v>
      </c>
      <c r="Z37" s="84">
        <f t="shared" si="16"/>
        <v>1866.8669961975545</v>
      </c>
      <c r="AA37" s="84">
        <f t="shared" si="16"/>
        <v>2075.4416411253901</v>
      </c>
      <c r="AB37" s="85">
        <f t="shared" si="16"/>
        <v>7385.2941076158686</v>
      </c>
      <c r="AC37" s="84">
        <f t="shared" si="16"/>
        <v>1866.3575804590605</v>
      </c>
      <c r="AD37" s="84">
        <f t="shared" si="16"/>
        <v>2092.5252859897346</v>
      </c>
      <c r="AE37" s="84">
        <f t="shared" si="16"/>
        <v>2138.6600833647312</v>
      </c>
      <c r="AF37" s="84">
        <f t="shared" si="16"/>
        <v>2321.9004079725428</v>
      </c>
      <c r="AG37" s="85">
        <f t="shared" si="16"/>
        <v>8419.4433577860691</v>
      </c>
      <c r="AH37" s="84">
        <f t="shared" si="16"/>
        <v>2138.3590108758763</v>
      </c>
      <c r="AI37" s="84">
        <f t="shared" si="16"/>
        <v>2389.0521709913014</v>
      </c>
      <c r="AJ37" s="84">
        <f t="shared" si="16"/>
        <v>2438.8590273591949</v>
      </c>
      <c r="AK37" s="84">
        <f t="shared" si="16"/>
        <v>2638.2798132084727</v>
      </c>
      <c r="AL37" s="85">
        <f t="shared" si="16"/>
        <v>9604.5500224348416</v>
      </c>
      <c r="AM37" s="84">
        <f t="shared" si="16"/>
        <v>2440.5936219256123</v>
      </c>
      <c r="AN37" s="84">
        <f t="shared" si="16"/>
        <v>2718.9759381034519</v>
      </c>
      <c r="AO37" s="84">
        <f t="shared" si="16"/>
        <v>2772.9295700221901</v>
      </c>
      <c r="AP37" s="84">
        <f t="shared" si="16"/>
        <v>2990.3846265558359</v>
      </c>
      <c r="AQ37" s="85">
        <f t="shared" si="16"/>
        <v>10922.883756607092</v>
      </c>
    </row>
    <row r="38" spans="1:43" s="267" customFormat="1" ht="17.25" outlineLevel="1" x14ac:dyDescent="0.4">
      <c r="B38" s="274" t="s">
        <v>326</v>
      </c>
      <c r="C38" s="277"/>
      <c r="D38" s="273">
        <f t="shared" ref="D38:AQ38" si="17">+D232+D234+D236+D238+D239</f>
        <v>0</v>
      </c>
      <c r="E38" s="273">
        <f t="shared" si="17"/>
        <v>0</v>
      </c>
      <c r="F38" s="273">
        <f t="shared" si="17"/>
        <v>0</v>
      </c>
      <c r="G38" s="273">
        <f t="shared" si="17"/>
        <v>0</v>
      </c>
      <c r="H38" s="279">
        <f t="shared" si="17"/>
        <v>0</v>
      </c>
      <c r="I38" s="273">
        <f t="shared" si="17"/>
        <v>22.5</v>
      </c>
      <c r="J38" s="273">
        <f t="shared" si="17"/>
        <v>7.5</v>
      </c>
      <c r="K38" s="273">
        <f t="shared" si="17"/>
        <v>15</v>
      </c>
      <c r="L38" s="273">
        <f t="shared" si="17"/>
        <v>43</v>
      </c>
      <c r="M38" s="279">
        <f t="shared" si="17"/>
        <v>88</v>
      </c>
      <c r="N38" s="273">
        <f t="shared" si="17"/>
        <v>32</v>
      </c>
      <c r="O38" s="273">
        <f t="shared" si="17"/>
        <v>31</v>
      </c>
      <c r="P38" s="273">
        <f t="shared" si="17"/>
        <v>1164</v>
      </c>
      <c r="Q38" s="273">
        <f t="shared" si="17"/>
        <v>30</v>
      </c>
      <c r="R38" s="279">
        <f t="shared" si="17"/>
        <v>1257</v>
      </c>
      <c r="S38" s="280">
        <f t="shared" si="17"/>
        <v>0</v>
      </c>
      <c r="T38" s="280">
        <f t="shared" si="17"/>
        <v>0</v>
      </c>
      <c r="U38" s="280">
        <f t="shared" si="17"/>
        <v>0</v>
      </c>
      <c r="V38" s="280">
        <f t="shared" si="17"/>
        <v>-56.807626654411798</v>
      </c>
      <c r="W38" s="281">
        <f t="shared" si="17"/>
        <v>-56.807626654411798</v>
      </c>
      <c r="X38" s="280">
        <f t="shared" si="17"/>
        <v>0</v>
      </c>
      <c r="Y38" s="280">
        <f t="shared" si="17"/>
        <v>0</v>
      </c>
      <c r="Z38" s="280">
        <f t="shared" si="17"/>
        <v>0</v>
      </c>
      <c r="AA38" s="280">
        <f t="shared" si="17"/>
        <v>-24.999999999999986</v>
      </c>
      <c r="AB38" s="281">
        <f t="shared" si="17"/>
        <v>-24.999999999999986</v>
      </c>
      <c r="AC38" s="280">
        <f t="shared" si="17"/>
        <v>0</v>
      </c>
      <c r="AD38" s="280">
        <f t="shared" si="17"/>
        <v>0</v>
      </c>
      <c r="AE38" s="280">
        <f t="shared" si="17"/>
        <v>0</v>
      </c>
      <c r="AF38" s="280">
        <f t="shared" si="17"/>
        <v>-13.750000000000012</v>
      </c>
      <c r="AG38" s="281">
        <f t="shared" si="17"/>
        <v>-13.750000000000012</v>
      </c>
      <c r="AH38" s="280">
        <f t="shared" si="17"/>
        <v>0</v>
      </c>
      <c r="AI38" s="280">
        <f t="shared" si="17"/>
        <v>0</v>
      </c>
      <c r="AJ38" s="280">
        <f t="shared" si="17"/>
        <v>0</v>
      </c>
      <c r="AK38" s="280">
        <f t="shared" si="17"/>
        <v>-13.750000000000012</v>
      </c>
      <c r="AL38" s="281">
        <f t="shared" si="17"/>
        <v>-13.750000000000012</v>
      </c>
      <c r="AM38" s="280">
        <f t="shared" si="17"/>
        <v>0</v>
      </c>
      <c r="AN38" s="280">
        <f t="shared" si="17"/>
        <v>0</v>
      </c>
      <c r="AO38" s="280">
        <f t="shared" si="17"/>
        <v>0</v>
      </c>
      <c r="AP38" s="280">
        <f t="shared" si="17"/>
        <v>-13.750000000000012</v>
      </c>
      <c r="AQ38" s="281">
        <f t="shared" si="17"/>
        <v>-13.750000000000012</v>
      </c>
    </row>
    <row r="39" spans="1:43" s="267" customFormat="1" outlineLevel="1" x14ac:dyDescent="0.25">
      <c r="B39" s="268" t="s">
        <v>327</v>
      </c>
      <c r="C39" s="277"/>
      <c r="D39" s="270">
        <f t="shared" ref="D39:AQ39" si="18">+D27+D33-D36-D38</f>
        <v>692</v>
      </c>
      <c r="E39" s="270">
        <f t="shared" si="18"/>
        <v>691</v>
      </c>
      <c r="F39" s="270">
        <f t="shared" si="18"/>
        <v>507</v>
      </c>
      <c r="G39" s="270">
        <f t="shared" si="18"/>
        <v>-70</v>
      </c>
      <c r="H39" s="271">
        <f t="shared" si="18"/>
        <v>1820</v>
      </c>
      <c r="I39" s="270">
        <f t="shared" si="18"/>
        <v>760</v>
      </c>
      <c r="J39" s="270">
        <f t="shared" si="18"/>
        <v>750</v>
      </c>
      <c r="K39" s="270">
        <f t="shared" si="18"/>
        <v>625</v>
      </c>
      <c r="L39" s="270">
        <f t="shared" si="18"/>
        <v>1138</v>
      </c>
      <c r="M39" s="271">
        <f t="shared" si="18"/>
        <v>3273</v>
      </c>
      <c r="N39" s="270">
        <f t="shared" si="18"/>
        <v>683</v>
      </c>
      <c r="O39" s="270">
        <f t="shared" si="18"/>
        <v>866</v>
      </c>
      <c r="P39" s="270">
        <f t="shared" si="18"/>
        <v>1016</v>
      </c>
      <c r="Q39" s="270">
        <f t="shared" si="18"/>
        <v>1604.1257859999969</v>
      </c>
      <c r="R39" s="271">
        <f t="shared" si="18"/>
        <v>4170.1257859999969</v>
      </c>
      <c r="S39" s="278">
        <f>+S27+S33-S36-S38</f>
        <v>1409.2212173334387</v>
      </c>
      <c r="T39" s="278">
        <f t="shared" si="18"/>
        <v>1574.0847828218753</v>
      </c>
      <c r="U39" s="278">
        <f t="shared" si="18"/>
        <v>1603.6550897521377</v>
      </c>
      <c r="V39" s="278">
        <f t="shared" si="18"/>
        <v>1765.5722795659622</v>
      </c>
      <c r="W39" s="272">
        <f t="shared" si="18"/>
        <v>6352.5333694734163</v>
      </c>
      <c r="X39" s="278">
        <f t="shared" si="18"/>
        <v>1620.2710104382497</v>
      </c>
      <c r="Y39" s="278">
        <f t="shared" si="18"/>
        <v>1822.7144598546511</v>
      </c>
      <c r="Z39" s="278">
        <f t="shared" si="18"/>
        <v>1866.8669961975545</v>
      </c>
      <c r="AA39" s="278">
        <f t="shared" si="18"/>
        <v>2000.4416411253901</v>
      </c>
      <c r="AB39" s="272">
        <f t="shared" si="18"/>
        <v>7310.2941076158686</v>
      </c>
      <c r="AC39" s="278">
        <f t="shared" si="18"/>
        <v>1866.3575804590605</v>
      </c>
      <c r="AD39" s="278">
        <f t="shared" si="18"/>
        <v>2092.5252859897346</v>
      </c>
      <c r="AE39" s="278">
        <f t="shared" si="18"/>
        <v>2138.6600833647312</v>
      </c>
      <c r="AF39" s="278">
        <f t="shared" si="18"/>
        <v>2280.6504079725428</v>
      </c>
      <c r="AG39" s="272">
        <f t="shared" si="18"/>
        <v>8378.1933577860691</v>
      </c>
      <c r="AH39" s="278">
        <f t="shared" si="18"/>
        <v>2138.3590108758763</v>
      </c>
      <c r="AI39" s="278">
        <f t="shared" si="18"/>
        <v>2389.0521709913014</v>
      </c>
      <c r="AJ39" s="278">
        <f t="shared" si="18"/>
        <v>2438.8590273591949</v>
      </c>
      <c r="AK39" s="278">
        <f t="shared" si="18"/>
        <v>2597.0298132084727</v>
      </c>
      <c r="AL39" s="272">
        <f t="shared" si="18"/>
        <v>9563.3000224348416</v>
      </c>
      <c r="AM39" s="278">
        <f t="shared" si="18"/>
        <v>2440.5936219256123</v>
      </c>
      <c r="AN39" s="278">
        <f t="shared" si="18"/>
        <v>2718.9759381034519</v>
      </c>
      <c r="AO39" s="278">
        <f t="shared" si="18"/>
        <v>2772.9295700221901</v>
      </c>
      <c r="AP39" s="278">
        <f t="shared" si="18"/>
        <v>2949.1346265558359</v>
      </c>
      <c r="AQ39" s="272">
        <f t="shared" si="18"/>
        <v>10881.633756607092</v>
      </c>
    </row>
    <row r="40" spans="1:43" x14ac:dyDescent="0.25">
      <c r="B40" s="549" t="s">
        <v>0</v>
      </c>
      <c r="C40" s="550"/>
      <c r="D40" s="77">
        <v>282</v>
      </c>
      <c r="E40" s="77">
        <v>279.76258654124456</v>
      </c>
      <c r="F40" s="77">
        <v>272</v>
      </c>
      <c r="G40" s="77">
        <v>269</v>
      </c>
      <c r="H40" s="89">
        <v>276</v>
      </c>
      <c r="I40" s="77">
        <v>265.39999999999998</v>
      </c>
      <c r="J40" s="77">
        <v>266</v>
      </c>
      <c r="K40" s="77">
        <v>266</v>
      </c>
      <c r="L40" s="77">
        <v>267.39999999999998</v>
      </c>
      <c r="M40" s="89">
        <v>266.64184371037703</v>
      </c>
      <c r="N40" s="77">
        <v>268</v>
      </c>
      <c r="O40" s="77">
        <v>268</v>
      </c>
      <c r="P40" s="77">
        <v>268</v>
      </c>
      <c r="Q40" s="77">
        <v>266.39999999999998</v>
      </c>
      <c r="R40" s="240">
        <v>267.7</v>
      </c>
      <c r="S40" s="77">
        <f>Q40*(1+S225)-S229</f>
        <v>266.15705411023373</v>
      </c>
      <c r="T40" s="77">
        <f>S40*(1+T225)-T229</f>
        <v>265.69023166871148</v>
      </c>
      <c r="U40" s="77">
        <f>T40*(1+U225)-U229</f>
        <v>265.09061763624442</v>
      </c>
      <c r="V40" s="77">
        <f>U40*(1+V225)-V229</f>
        <v>264.35309705873601</v>
      </c>
      <c r="W40" s="240">
        <f>(S40*S37/W37)+(T40*T37/W37)+(U40*U37/W37)+(V40*V37/W37)</f>
        <v>265.24681245391395</v>
      </c>
      <c r="X40" s="77">
        <f>V40*(1+X225)-X229</f>
        <v>263.83704962608533</v>
      </c>
      <c r="Y40" s="77">
        <f>X40*(1+Y225)-Y229</f>
        <v>263.25286250398329</v>
      </c>
      <c r="Z40" s="77">
        <f>Y40*(1+Z225)-Z229</f>
        <v>262.63941250810859</v>
      </c>
      <c r="AA40" s="77">
        <f>Z40*(1+AA225)-AA229</f>
        <v>262.02259709759232</v>
      </c>
      <c r="AB40" s="89">
        <f>(X40*X37/AB37)+(Y40*Y37/AB37)+(Z40*Z37/AB37)+(AA40*AA37/AB37)</f>
        <v>262.88022573333245</v>
      </c>
      <c r="AC40" s="77">
        <f>AA40*(1+AC225)-AC229</f>
        <v>261.43577608014215</v>
      </c>
      <c r="AD40" s="77">
        <f>AC40*(1+AD225)-AD229</f>
        <v>260.83129915112562</v>
      </c>
      <c r="AE40" s="77">
        <f>AD40*(1+AE225)-AE229</f>
        <v>260.22175818588977</v>
      </c>
      <c r="AF40" s="77">
        <f>AE40*(1+AF225)-AF229</f>
        <v>259.61318465458197</v>
      </c>
      <c r="AG40" s="89">
        <f>(AC40*AC37/AG37)+(AD40*AD37/AG37)+(AE40*AE37/AG37)+(AF40*AF37/AG37)</f>
        <v>260.47453312139197</v>
      </c>
      <c r="AH40" s="77">
        <f>AF40*(1+AH225)-AH229</f>
        <v>259.00663612969771</v>
      </c>
      <c r="AI40" s="77">
        <f>AH40*(1+AI225)-AI229</f>
        <v>258.39515625122874</v>
      </c>
      <c r="AJ40" s="77">
        <f>AI40*(1+AJ225)-AJ229</f>
        <v>257.78191652388517</v>
      </c>
      <c r="AK40" s="77">
        <f>AJ40*(1+AK225)-AK229</f>
        <v>257.16773854936025</v>
      </c>
      <c r="AL40" s="89">
        <f>(AH40*AH37/AL37)+(AI40*AI37/AL37)+(AJ40*AJ37/AL37)+(AK40*AK37/AL37)</f>
        <v>258.03841771854536</v>
      </c>
      <c r="AM40" s="77">
        <f>AK40*(1+AM225)-AM229</f>
        <v>256.55214496708527</v>
      </c>
      <c r="AN40" s="77">
        <f>AM40*(1+AN225)-AN229</f>
        <v>255.93428092560137</v>
      </c>
      <c r="AO40" s="77">
        <f>AN40*(1+AO225)-AO229</f>
        <v>255.31480917375703</v>
      </c>
      <c r="AP40" s="77">
        <f>AO40*(1+AP225)-AP229</f>
        <v>254.69376709849888</v>
      </c>
      <c r="AQ40" s="89">
        <f>(AM40*AM37/AQ37)+(AN40*AN37/AQ37)+(AO40*AO37/AQ37)+(AP40*AP37/AQ37)</f>
        <v>255.57545535677238</v>
      </c>
    </row>
    <row r="41" spans="1:43" ht="15.75" customHeight="1" x14ac:dyDescent="0.25">
      <c r="B41" s="549" t="s">
        <v>1</v>
      </c>
      <c r="C41" s="550"/>
      <c r="D41" s="77">
        <v>286</v>
      </c>
      <c r="E41" s="77">
        <v>283</v>
      </c>
      <c r="F41" s="77">
        <v>275</v>
      </c>
      <c r="G41" s="77">
        <v>269</v>
      </c>
      <c r="H41" s="89">
        <v>279.57441807692305</v>
      </c>
      <c r="I41" s="77">
        <v>269.39999999999998</v>
      </c>
      <c r="J41" s="77">
        <v>270</v>
      </c>
      <c r="K41" s="77">
        <v>271</v>
      </c>
      <c r="L41" s="77">
        <v>271.7</v>
      </c>
      <c r="M41" s="89">
        <v>270.73702702702701</v>
      </c>
      <c r="N41" s="77">
        <v>272</v>
      </c>
      <c r="O41" s="77">
        <v>272.89328309677421</v>
      </c>
      <c r="P41" s="77">
        <v>273</v>
      </c>
      <c r="Q41" s="77">
        <v>271.39999999999998</v>
      </c>
      <c r="R41" s="240">
        <v>272.3</v>
      </c>
      <c r="S41" s="77">
        <f>Q41*(1+S226)-S229</f>
        <v>271.3330676889567</v>
      </c>
      <c r="T41" s="77">
        <f>S41*(1+T226)-T229</f>
        <v>271.16096473257721</v>
      </c>
      <c r="U41" s="77">
        <f>T41*(1+U226)-U229</f>
        <v>270.7068637999958</v>
      </c>
      <c r="V41" s="77">
        <f>U41*(1+V226)-V229</f>
        <v>270.12417170925829</v>
      </c>
      <c r="W41" s="240">
        <f>(S41*S37/W37)+(T41*T37/W37)+(U41*U37/W37)+(V41*V37/W37)</f>
        <v>270.7787888734498</v>
      </c>
      <c r="X41" s="77">
        <f>V41*(1+X226)-X229</f>
        <v>269.80153511181663</v>
      </c>
      <c r="Y41" s="77">
        <f>X41*(1+Y226)-Y229</f>
        <v>269.41502654675463</v>
      </c>
      <c r="Z41" s="77">
        <f>Y41*(1+Z226)-Z229</f>
        <v>268.97513588860204</v>
      </c>
      <c r="AA41" s="77">
        <f>Z41*(1+AA226)-AA229</f>
        <v>268.53880535190649</v>
      </c>
      <c r="AB41" s="89">
        <f>(X41*X37/AB37)+(Y41*Y37/AB37)+(Z41*Z37/AB37)+(AA41*AA37/AB37)</f>
        <v>269.14238815840133</v>
      </c>
      <c r="AC41" s="77">
        <f>AA41*(1+AC226)-AC229</f>
        <v>268.13888602846299</v>
      </c>
      <c r="AD41" s="77">
        <f>AC41*(1+AD226)-AD229</f>
        <v>267.71968049772317</v>
      </c>
      <c r="AE41" s="77">
        <f>AD41*(1+AE226)-AE229</f>
        <v>267.29232809267131</v>
      </c>
      <c r="AF41" s="77">
        <f>AE41*(1+AF226)-AF229</f>
        <v>266.86808443400776</v>
      </c>
      <c r="AG41" s="89">
        <f>(AC41*AC37/AG37)+(AD41*AD37/AG37)+(AE41*AE37/AG37)+(AF41*AF37/AG37)</f>
        <v>267.46920130708094</v>
      </c>
      <c r="AH41" s="77">
        <f>AF41*(1+AH226)-AH229</f>
        <v>266.44682863949708</v>
      </c>
      <c r="AI41" s="77">
        <f>AH41*(1+AI226)-AI229</f>
        <v>266.02023992987188</v>
      </c>
      <c r="AJ41" s="77">
        <f>AI41*(1+AJ226)-AJ229</f>
        <v>265.59179774068446</v>
      </c>
      <c r="AK41" s="77">
        <f>AJ41*(1+AK226)-AK229</f>
        <v>265.16306646435686</v>
      </c>
      <c r="AL41" s="89">
        <f>(AH41*AH37/AL37)+(AI41*AI37/AL37)+(AJ41*AJ37/AL37)+(AK41*AK37/AL37)</f>
        <v>265.7709649784656</v>
      </c>
      <c r="AM41" s="77">
        <f>AK41*(1+AM226)-AM229</f>
        <v>264.7331989430495</v>
      </c>
      <c r="AN41" s="77">
        <f>AM41*(1+AN226)-AN229</f>
        <v>264.30116909291309</v>
      </c>
      <c r="AO41" s="77">
        <f>AN41*(1+AO226)-AO229</f>
        <v>263.86776684291897</v>
      </c>
      <c r="AP41" s="77">
        <f>AO41*(1+AP226)-AP229</f>
        <v>263.4331113381507</v>
      </c>
      <c r="AQ41" s="89">
        <f>(AM41*AM37/AQ37)+(AN41*AN37/AQ37)+(AO41*AO37/AQ37)+(AP41*AP37/AQ37)</f>
        <v>264.05002559968091</v>
      </c>
    </row>
    <row r="42" spans="1:43" ht="15.75" customHeight="1" x14ac:dyDescent="0.25">
      <c r="B42" s="573" t="s">
        <v>46</v>
      </c>
      <c r="C42" s="574"/>
      <c r="D42" s="90">
        <f t="shared" ref="D42:AQ42" si="19">D37/D40</f>
        <v>2.4539007092198584</v>
      </c>
      <c r="E42" s="90">
        <f t="shared" si="19"/>
        <v>2.4699514275406083</v>
      </c>
      <c r="F42" s="90">
        <f t="shared" si="19"/>
        <v>1.8639705882352942</v>
      </c>
      <c r="G42" s="90">
        <f t="shared" si="19"/>
        <v>-0.26022304832713755</v>
      </c>
      <c r="H42" s="91">
        <f t="shared" si="19"/>
        <v>6.5942028985507246</v>
      </c>
      <c r="I42" s="90">
        <f t="shared" si="19"/>
        <v>2.6940467219291637</v>
      </c>
      <c r="J42" s="90">
        <f t="shared" si="19"/>
        <v>2.6315789473684212</v>
      </c>
      <c r="K42" s="90">
        <f t="shared" si="19"/>
        <v>2.1127819548872182</v>
      </c>
      <c r="L42" s="90">
        <f t="shared" si="19"/>
        <v>3.8145100972326107</v>
      </c>
      <c r="M42" s="91">
        <f t="shared" si="19"/>
        <v>11.239796268643053</v>
      </c>
      <c r="N42" s="90">
        <f t="shared" si="19"/>
        <v>2.2238805970149254</v>
      </c>
      <c r="O42" s="90">
        <f t="shared" si="19"/>
        <v>2.8917910447761193</v>
      </c>
      <c r="P42" s="90">
        <f t="shared" si="19"/>
        <v>7.7388059701492535</v>
      </c>
      <c r="Q42" s="90">
        <f t="shared" si="19"/>
        <v>4.2309526501501384</v>
      </c>
      <c r="R42" s="91">
        <f t="shared" si="19"/>
        <v>17.079289450877837</v>
      </c>
      <c r="S42" s="90">
        <f t="shared" si="19"/>
        <v>5.2946979821537417</v>
      </c>
      <c r="T42" s="90">
        <f t="shared" si="19"/>
        <v>5.924511311295019</v>
      </c>
      <c r="U42" s="90">
        <f t="shared" si="19"/>
        <v>6.049460007493221</v>
      </c>
      <c r="V42" s="90">
        <f t="shared" si="19"/>
        <v>7.3235198719803289</v>
      </c>
      <c r="W42" s="91">
        <f t="shared" si="19"/>
        <v>24.592025024127295</v>
      </c>
      <c r="X42" s="90">
        <f t="shared" si="19"/>
        <v>6.1411807505220635</v>
      </c>
      <c r="Y42" s="90">
        <f t="shared" si="19"/>
        <v>6.9238162978268525</v>
      </c>
      <c r="Z42" s="90">
        <f t="shared" si="19"/>
        <v>7.1080991933757005</v>
      </c>
      <c r="AA42" s="90">
        <f t="shared" si="19"/>
        <v>7.9208498202633111</v>
      </c>
      <c r="AB42" s="91">
        <f t="shared" si="19"/>
        <v>28.093760521598011</v>
      </c>
      <c r="AC42" s="90">
        <f t="shared" si="19"/>
        <v>7.1388759734510687</v>
      </c>
      <c r="AD42" s="90">
        <f t="shared" si="19"/>
        <v>8.0225237262546685</v>
      </c>
      <c r="AE42" s="90">
        <f t="shared" si="19"/>
        <v>8.2186059239403662</v>
      </c>
      <c r="AF42" s="90">
        <f t="shared" si="19"/>
        <v>8.9436921744242515</v>
      </c>
      <c r="AG42" s="91">
        <f t="shared" si="19"/>
        <v>32.323479984364759</v>
      </c>
      <c r="AH42" s="90">
        <f t="shared" si="19"/>
        <v>8.256000860939686</v>
      </c>
      <c r="AI42" s="90">
        <f t="shared" si="19"/>
        <v>9.2457312499639421</v>
      </c>
      <c r="AJ42" s="90">
        <f t="shared" si="19"/>
        <v>9.4609391544857218</v>
      </c>
      <c r="AK42" s="90">
        <f t="shared" si="19"/>
        <v>10.258984381519094</v>
      </c>
      <c r="AL42" s="91">
        <f t="shared" si="19"/>
        <v>37.221395586571049</v>
      </c>
      <c r="AM42" s="90">
        <f t="shared" si="19"/>
        <v>9.5130509325452408</v>
      </c>
      <c r="AN42" s="90">
        <f t="shared" si="19"/>
        <v>10.623727029728553</v>
      </c>
      <c r="AO42" s="90">
        <f t="shared" si="19"/>
        <v>10.860825421744515</v>
      </c>
      <c r="AP42" s="90">
        <f t="shared" si="19"/>
        <v>11.741098577411794</v>
      </c>
      <c r="AQ42" s="91">
        <f t="shared" si="19"/>
        <v>42.738391060906906</v>
      </c>
    </row>
    <row r="43" spans="1:43" x14ac:dyDescent="0.25">
      <c r="B43" s="573" t="s">
        <v>47</v>
      </c>
      <c r="C43" s="574"/>
      <c r="D43" s="90">
        <f t="shared" ref="D43:AQ43" si="20">D37/D41</f>
        <v>2.4195804195804196</v>
      </c>
      <c r="E43" s="90">
        <f t="shared" si="20"/>
        <v>2.441696113074205</v>
      </c>
      <c r="F43" s="90">
        <f t="shared" si="20"/>
        <v>1.8436363636363637</v>
      </c>
      <c r="G43" s="90">
        <f t="shared" si="20"/>
        <v>-0.26022304832713755</v>
      </c>
      <c r="H43" s="91">
        <f t="shared" si="20"/>
        <v>6.5098946195400433</v>
      </c>
      <c r="I43" s="90">
        <f t="shared" si="20"/>
        <v>2.6540460282108391</v>
      </c>
      <c r="J43" s="90">
        <f t="shared" si="20"/>
        <v>2.5925925925925926</v>
      </c>
      <c r="K43" s="90">
        <f t="shared" si="20"/>
        <v>2.07380073800738</v>
      </c>
      <c r="L43" s="90">
        <f t="shared" si="20"/>
        <v>3.7541405962458594</v>
      </c>
      <c r="M43" s="91">
        <f t="shared" si="20"/>
        <v>11.069782485647288</v>
      </c>
      <c r="N43" s="90">
        <f t="shared" si="20"/>
        <v>2.1911764705882355</v>
      </c>
      <c r="O43" s="90">
        <f t="shared" si="20"/>
        <v>2.8399379831022342</v>
      </c>
      <c r="P43" s="90">
        <f t="shared" si="20"/>
        <v>7.5970695970695967</v>
      </c>
      <c r="Q43" s="90">
        <f t="shared" si="20"/>
        <v>4.153005843773018</v>
      </c>
      <c r="R43" s="91">
        <f t="shared" si="20"/>
        <v>16.790766749908176</v>
      </c>
      <c r="S43" s="90">
        <f t="shared" si="20"/>
        <v>5.1936950749729585</v>
      </c>
      <c r="T43" s="90">
        <f t="shared" si="20"/>
        <v>5.8049829715507171</v>
      </c>
      <c r="U43" s="90">
        <f t="shared" si="20"/>
        <v>5.9239542996477308</v>
      </c>
      <c r="V43" s="90">
        <f t="shared" si="20"/>
        <v>7.1670563477486935</v>
      </c>
      <c r="W43" s="91">
        <f t="shared" si="20"/>
        <v>24.089613062288997</v>
      </c>
      <c r="X43" s="90">
        <f t="shared" si="20"/>
        <v>6.0054180557821661</v>
      </c>
      <c r="Y43" s="90">
        <f t="shared" si="20"/>
        <v>6.765452110141803</v>
      </c>
      <c r="Z43" s="90">
        <f t="shared" si="20"/>
        <v>6.9406675454594087</v>
      </c>
      <c r="AA43" s="90">
        <f t="shared" si="20"/>
        <v>7.7286470326164931</v>
      </c>
      <c r="AB43" s="91">
        <f t="shared" si="20"/>
        <v>27.440100231515075</v>
      </c>
      <c r="AC43" s="90">
        <f t="shared" si="20"/>
        <v>6.9604137173186675</v>
      </c>
      <c r="AD43" s="90">
        <f t="shared" si="20"/>
        <v>7.816105570197446</v>
      </c>
      <c r="AE43" s="90">
        <f t="shared" si="20"/>
        <v>8.0012026481480198</v>
      </c>
      <c r="AF43" s="90">
        <f t="shared" si="20"/>
        <v>8.7005548561454606</v>
      </c>
      <c r="AG43" s="91">
        <f t="shared" si="20"/>
        <v>31.478178858132232</v>
      </c>
      <c r="AH43" s="90">
        <f t="shared" si="20"/>
        <v>8.0254624226324669</v>
      </c>
      <c r="AI43" s="90">
        <f t="shared" si="20"/>
        <v>8.9807157967420146</v>
      </c>
      <c r="AJ43" s="90">
        <f t="shared" si="20"/>
        <v>9.1827347384440721</v>
      </c>
      <c r="AK43" s="90">
        <f t="shared" si="20"/>
        <v>9.9496504109221764</v>
      </c>
      <c r="AL43" s="91">
        <f t="shared" si="20"/>
        <v>36.138447340224168</v>
      </c>
      <c r="AM43" s="90">
        <f t="shared" si="20"/>
        <v>9.219068978389231</v>
      </c>
      <c r="AN43" s="90">
        <f t="shared" si="20"/>
        <v>10.287415479224068</v>
      </c>
      <c r="AO43" s="90">
        <f t="shared" si="20"/>
        <v>10.508784772006354</v>
      </c>
      <c r="AP43" s="90">
        <f t="shared" si="20"/>
        <v>11.351589826220774</v>
      </c>
      <c r="AQ43" s="91">
        <f t="shared" si="20"/>
        <v>41.366721066586756</v>
      </c>
    </row>
    <row r="44" spans="1:43" s="267" customFormat="1" outlineLevel="1" x14ac:dyDescent="0.25">
      <c r="B44" s="268" t="s">
        <v>328</v>
      </c>
      <c r="C44" s="416"/>
      <c r="D44" s="282">
        <f t="shared" ref="D44:AQ44" si="21">+D39/D41</f>
        <v>2.4195804195804196</v>
      </c>
      <c r="E44" s="282">
        <f t="shared" si="21"/>
        <v>2.441696113074205</v>
      </c>
      <c r="F44" s="282">
        <f t="shared" si="21"/>
        <v>1.8436363636363637</v>
      </c>
      <c r="G44" s="282">
        <f t="shared" si="21"/>
        <v>-0.26022304832713755</v>
      </c>
      <c r="H44" s="283">
        <f t="shared" si="21"/>
        <v>6.5098946195400433</v>
      </c>
      <c r="I44" s="282">
        <f t="shared" si="21"/>
        <v>2.8210838901262068</v>
      </c>
      <c r="J44" s="282">
        <f t="shared" si="21"/>
        <v>2.7777777777777777</v>
      </c>
      <c r="K44" s="282">
        <f t="shared" si="21"/>
        <v>2.3062730627306274</v>
      </c>
      <c r="L44" s="282">
        <f t="shared" si="21"/>
        <v>4.188443135811557</v>
      </c>
      <c r="M44" s="283">
        <f t="shared" si="21"/>
        <v>12.089221913754946</v>
      </c>
      <c r="N44" s="282">
        <f t="shared" si="21"/>
        <v>2.5110294117647061</v>
      </c>
      <c r="O44" s="282">
        <f t="shared" si="21"/>
        <v>3.1734016688600448</v>
      </c>
      <c r="P44" s="282">
        <f t="shared" si="21"/>
        <v>3.7216117216117217</v>
      </c>
      <c r="Q44" s="282">
        <f t="shared" si="21"/>
        <v>5.91055927044951</v>
      </c>
      <c r="R44" s="283">
        <f t="shared" si="21"/>
        <v>15.31445385971354</v>
      </c>
      <c r="S44" s="282">
        <f>+S39/S41</f>
        <v>5.1936950749729585</v>
      </c>
      <c r="T44" s="282">
        <f t="shared" si="21"/>
        <v>5.8049829715507171</v>
      </c>
      <c r="U44" s="282">
        <f t="shared" si="21"/>
        <v>5.9239542996477308</v>
      </c>
      <c r="V44" s="282">
        <f t="shared" si="21"/>
        <v>6.5361506465489274</v>
      </c>
      <c r="W44" s="283">
        <f t="shared" si="21"/>
        <v>23.460232597621644</v>
      </c>
      <c r="X44" s="282">
        <f t="shared" si="21"/>
        <v>6.0054180557821661</v>
      </c>
      <c r="Y44" s="282">
        <f t="shared" si="21"/>
        <v>6.765452110141803</v>
      </c>
      <c r="Z44" s="282">
        <f t="shared" si="21"/>
        <v>6.9406675454594087</v>
      </c>
      <c r="AA44" s="282">
        <f t="shared" si="21"/>
        <v>7.4493577883610254</v>
      </c>
      <c r="AB44" s="283">
        <f t="shared" si="21"/>
        <v>27.16143732555966</v>
      </c>
      <c r="AC44" s="282">
        <f t="shared" si="21"/>
        <v>6.9604137173186675</v>
      </c>
      <c r="AD44" s="282">
        <f t="shared" si="21"/>
        <v>7.816105570197446</v>
      </c>
      <c r="AE44" s="282">
        <f t="shared" si="21"/>
        <v>8.0012026481480198</v>
      </c>
      <c r="AF44" s="282">
        <f t="shared" si="21"/>
        <v>8.5459841060031714</v>
      </c>
      <c r="AG44" s="283">
        <f t="shared" si="21"/>
        <v>31.323955494102215</v>
      </c>
      <c r="AH44" s="282">
        <f t="shared" si="21"/>
        <v>8.0254624226324669</v>
      </c>
      <c r="AI44" s="282">
        <f t="shared" si="21"/>
        <v>8.9807157967420146</v>
      </c>
      <c r="AJ44" s="282">
        <f t="shared" si="21"/>
        <v>9.1827347384440721</v>
      </c>
      <c r="AK44" s="282">
        <f t="shared" si="21"/>
        <v>9.7940857595172091</v>
      </c>
      <c r="AL44" s="283">
        <f t="shared" si="21"/>
        <v>35.983238512189317</v>
      </c>
      <c r="AM44" s="282">
        <f t="shared" si="21"/>
        <v>9.219068978389231</v>
      </c>
      <c r="AN44" s="282">
        <f t="shared" si="21"/>
        <v>10.287415479224068</v>
      </c>
      <c r="AO44" s="282">
        <f t="shared" si="21"/>
        <v>10.508784772006354</v>
      </c>
      <c r="AP44" s="282">
        <f t="shared" si="21"/>
        <v>11.195003587723784</v>
      </c>
      <c r="AQ44" s="283">
        <f t="shared" si="21"/>
        <v>41.210500668931736</v>
      </c>
    </row>
    <row r="45" spans="1:43" x14ac:dyDescent="0.25">
      <c r="B45" s="549" t="s">
        <v>35</v>
      </c>
      <c r="C45" s="550"/>
      <c r="D45" s="92">
        <v>0.25</v>
      </c>
      <c r="E45" s="92">
        <v>0.25</v>
      </c>
      <c r="F45" s="92">
        <v>0.25</v>
      </c>
      <c r="G45" s="92">
        <v>0.25</v>
      </c>
      <c r="H45" s="93">
        <f>SUM(D45:G45)</f>
        <v>1</v>
      </c>
      <c r="I45" s="92">
        <v>0.4</v>
      </c>
      <c r="J45" s="92">
        <v>0.4</v>
      </c>
      <c r="K45" s="92">
        <v>0.4</v>
      </c>
      <c r="L45" s="92">
        <v>0.4</v>
      </c>
      <c r="M45" s="93">
        <f>SUM(I45:L45)</f>
        <v>1.6</v>
      </c>
      <c r="N45" s="92">
        <v>0.5</v>
      </c>
      <c r="O45" s="92">
        <v>0.5</v>
      </c>
      <c r="P45" s="92">
        <v>0.5</v>
      </c>
      <c r="Q45" s="92">
        <v>0.5</v>
      </c>
      <c r="R45" s="93">
        <f>SUM(N45:Q45)</f>
        <v>2</v>
      </c>
      <c r="S45" s="92">
        <f>N45*(1+S46)</f>
        <v>0.55000000000000004</v>
      </c>
      <c r="T45" s="92">
        <f>O45*(1+T46)</f>
        <v>0.55000000000000004</v>
      </c>
      <c r="U45" s="92">
        <f>P45*(1+U46)</f>
        <v>0.55000000000000004</v>
      </c>
      <c r="V45" s="92">
        <f>Q45*(1+V46)</f>
        <v>0.55000000000000004</v>
      </c>
      <c r="W45" s="93">
        <f>SUM(S45:V45)</f>
        <v>2.2000000000000002</v>
      </c>
      <c r="X45" s="92">
        <f>S45*(1+X46)</f>
        <v>0.60500000000000009</v>
      </c>
      <c r="Y45" s="92">
        <f>T45*(1+Y46)</f>
        <v>0.60500000000000009</v>
      </c>
      <c r="Z45" s="92">
        <f>U45*(1+Z46)</f>
        <v>0.60500000000000009</v>
      </c>
      <c r="AA45" s="92">
        <f>V45*(1+AA46)</f>
        <v>0.60500000000000009</v>
      </c>
      <c r="AB45" s="93">
        <f>SUM(X45:AA45)</f>
        <v>2.4200000000000004</v>
      </c>
      <c r="AC45" s="92">
        <f>X45*(1+AC46)</f>
        <v>0.6655000000000002</v>
      </c>
      <c r="AD45" s="92">
        <f>Y45*(1+AD46)</f>
        <v>0.6655000000000002</v>
      </c>
      <c r="AE45" s="92">
        <f>Z45*(1+AE46)</f>
        <v>0.6655000000000002</v>
      </c>
      <c r="AF45" s="92">
        <f>AA45*(1+AF46)</f>
        <v>0.6655000000000002</v>
      </c>
      <c r="AG45" s="93">
        <f>SUM(AC45:AF45)</f>
        <v>2.6620000000000008</v>
      </c>
      <c r="AH45" s="92">
        <f>AC45*(1+AH46)</f>
        <v>0.73205000000000031</v>
      </c>
      <c r="AI45" s="92">
        <f>AD45*(1+AI46)</f>
        <v>0.73205000000000031</v>
      </c>
      <c r="AJ45" s="92">
        <f>AE45*(1+AJ46)</f>
        <v>0.73205000000000031</v>
      </c>
      <c r="AK45" s="92">
        <f>AF45*(1+AK46)</f>
        <v>0.73205000000000031</v>
      </c>
      <c r="AL45" s="93">
        <f>SUM(AH45:AK45)</f>
        <v>2.9282000000000012</v>
      </c>
      <c r="AM45" s="92">
        <f>AH45*(1+AM46)</f>
        <v>0.80525500000000039</v>
      </c>
      <c r="AN45" s="92">
        <f>AI45*(1+AN46)</f>
        <v>0.80525500000000039</v>
      </c>
      <c r="AO45" s="92">
        <f>AJ45*(1+AO46)</f>
        <v>0.80525500000000039</v>
      </c>
      <c r="AP45" s="92">
        <f>AK45*(1+AP46)</f>
        <v>0.80525500000000039</v>
      </c>
      <c r="AQ45" s="93">
        <f>SUM(AM45:AP45)</f>
        <v>3.2210200000000015</v>
      </c>
    </row>
    <row r="46" spans="1:43" x14ac:dyDescent="0.25">
      <c r="B46" s="306" t="s">
        <v>65</v>
      </c>
      <c r="C46" s="307"/>
      <c r="D46" s="94">
        <f>D45/0.2-1</f>
        <v>0.25</v>
      </c>
      <c r="E46" s="94">
        <f>E45/0.2-1</f>
        <v>0.25</v>
      </c>
      <c r="F46" s="94">
        <f>F45/0.2-1</f>
        <v>0.25</v>
      </c>
      <c r="G46" s="94">
        <f>G45/0.2-1</f>
        <v>0.25</v>
      </c>
      <c r="H46" s="417">
        <f>H45/0.8-1</f>
        <v>0.25</v>
      </c>
      <c r="I46" s="94">
        <f t="shared" ref="I46:R46" si="22">I45/D45-1</f>
        <v>0.60000000000000009</v>
      </c>
      <c r="J46" s="94">
        <f t="shared" si="22"/>
        <v>0.60000000000000009</v>
      </c>
      <c r="K46" s="94">
        <f t="shared" si="22"/>
        <v>0.60000000000000009</v>
      </c>
      <c r="L46" s="94">
        <f t="shared" si="22"/>
        <v>0.60000000000000009</v>
      </c>
      <c r="M46" s="417">
        <f t="shared" si="22"/>
        <v>0.60000000000000009</v>
      </c>
      <c r="N46" s="94">
        <f t="shared" si="22"/>
        <v>0.25</v>
      </c>
      <c r="O46" s="94">
        <f t="shared" si="22"/>
        <v>0.25</v>
      </c>
      <c r="P46" s="94">
        <f t="shared" si="22"/>
        <v>0.25</v>
      </c>
      <c r="Q46" s="94">
        <f t="shared" si="22"/>
        <v>0.25</v>
      </c>
      <c r="R46" s="418">
        <f t="shared" si="22"/>
        <v>0.25</v>
      </c>
      <c r="S46" s="312">
        <v>0.1</v>
      </c>
      <c r="T46" s="312">
        <v>0.1</v>
      </c>
      <c r="U46" s="312">
        <v>0.1</v>
      </c>
      <c r="V46" s="312">
        <v>0.1</v>
      </c>
      <c r="W46" s="418">
        <f>W45/R45-1</f>
        <v>0.10000000000000009</v>
      </c>
      <c r="X46" s="312">
        <v>0.1</v>
      </c>
      <c r="Y46" s="312">
        <v>0.1</v>
      </c>
      <c r="Z46" s="312">
        <v>0.1</v>
      </c>
      <c r="AA46" s="312">
        <v>0.1</v>
      </c>
      <c r="AB46" s="418">
        <f>AB45/W45-1</f>
        <v>0.10000000000000009</v>
      </c>
      <c r="AC46" s="312">
        <v>0.1</v>
      </c>
      <c r="AD46" s="312">
        <v>0.1</v>
      </c>
      <c r="AE46" s="312">
        <v>0.1</v>
      </c>
      <c r="AF46" s="312">
        <v>0.1</v>
      </c>
      <c r="AG46" s="418">
        <f>AG45/AB45-1</f>
        <v>0.10000000000000009</v>
      </c>
      <c r="AH46" s="312">
        <v>0.1</v>
      </c>
      <c r="AI46" s="312">
        <v>0.1</v>
      </c>
      <c r="AJ46" s="312">
        <v>0.1</v>
      </c>
      <c r="AK46" s="312">
        <v>0.1</v>
      </c>
      <c r="AL46" s="418">
        <f>AL45/AG45-1</f>
        <v>0.10000000000000009</v>
      </c>
      <c r="AM46" s="312">
        <v>0.1</v>
      </c>
      <c r="AN46" s="312">
        <v>0.1</v>
      </c>
      <c r="AO46" s="312">
        <v>0.1</v>
      </c>
      <c r="AP46" s="312">
        <v>0.1</v>
      </c>
      <c r="AQ46" s="418">
        <f>AQ45/AL45-1</f>
        <v>0.10000000000000009</v>
      </c>
    </row>
    <row r="47" spans="1:43" s="36" customFormat="1" x14ac:dyDescent="0.25">
      <c r="B47" s="95"/>
      <c r="C47" s="166"/>
      <c r="D47" s="166"/>
      <c r="E47" s="166"/>
      <c r="F47" s="166"/>
      <c r="G47" s="166"/>
      <c r="H47" s="39"/>
      <c r="I47" s="166"/>
      <c r="J47" s="166"/>
      <c r="K47" s="166"/>
      <c r="L47" s="166"/>
      <c r="M47" s="39"/>
      <c r="N47" s="166"/>
      <c r="O47" s="166"/>
      <c r="P47" s="166"/>
      <c r="Q47" s="166"/>
      <c r="R47" s="39"/>
      <c r="S47" s="422"/>
      <c r="T47" s="166"/>
      <c r="U47" s="166"/>
      <c r="V47" s="166"/>
      <c r="W47" s="39"/>
      <c r="X47" s="166"/>
      <c r="Y47" s="166"/>
      <c r="Z47" s="166"/>
      <c r="AA47" s="166"/>
      <c r="AB47" s="39"/>
      <c r="AC47" s="166"/>
      <c r="AD47" s="166"/>
      <c r="AE47" s="166"/>
      <c r="AF47" s="166"/>
      <c r="AG47" s="39"/>
      <c r="AH47" s="166"/>
      <c r="AI47" s="166"/>
      <c r="AJ47" s="166"/>
      <c r="AK47" s="166"/>
      <c r="AL47" s="39"/>
      <c r="AM47" s="166"/>
      <c r="AN47" s="166"/>
      <c r="AO47" s="166"/>
      <c r="AP47" s="166"/>
      <c r="AQ47" s="39"/>
    </row>
    <row r="48" spans="1:43" ht="15.75" x14ac:dyDescent="0.25">
      <c r="B48" s="532" t="s">
        <v>71</v>
      </c>
      <c r="C48" s="540"/>
      <c r="D48" s="67" t="s">
        <v>88</v>
      </c>
      <c r="E48" s="67" t="s">
        <v>89</v>
      </c>
      <c r="F48" s="67" t="s">
        <v>90</v>
      </c>
      <c r="G48" s="67" t="s">
        <v>91</v>
      </c>
      <c r="H48" s="403" t="s">
        <v>91</v>
      </c>
      <c r="I48" s="67" t="s">
        <v>92</v>
      </c>
      <c r="J48" s="67" t="s">
        <v>93</v>
      </c>
      <c r="K48" s="67" t="s">
        <v>94</v>
      </c>
      <c r="L48" s="67" t="s">
        <v>95</v>
      </c>
      <c r="M48" s="403" t="s">
        <v>95</v>
      </c>
      <c r="N48" s="67" t="s">
        <v>96</v>
      </c>
      <c r="O48" s="67" t="s">
        <v>97</v>
      </c>
      <c r="P48" s="67" t="s">
        <v>98</v>
      </c>
      <c r="Q48" s="67" t="s">
        <v>99</v>
      </c>
      <c r="R48" s="403" t="s">
        <v>99</v>
      </c>
      <c r="S48" s="69" t="s">
        <v>100</v>
      </c>
      <c r="T48" s="69" t="s">
        <v>101</v>
      </c>
      <c r="U48" s="69" t="s">
        <v>102</v>
      </c>
      <c r="V48" s="69" t="s">
        <v>103</v>
      </c>
      <c r="W48" s="407" t="s">
        <v>103</v>
      </c>
      <c r="X48" s="69" t="s">
        <v>104</v>
      </c>
      <c r="Y48" s="69" t="s">
        <v>105</v>
      </c>
      <c r="Z48" s="69" t="s">
        <v>106</v>
      </c>
      <c r="AA48" s="69" t="s">
        <v>107</v>
      </c>
      <c r="AB48" s="407" t="s">
        <v>107</v>
      </c>
      <c r="AC48" s="69" t="s">
        <v>108</v>
      </c>
      <c r="AD48" s="69" t="s">
        <v>109</v>
      </c>
      <c r="AE48" s="69" t="s">
        <v>110</v>
      </c>
      <c r="AF48" s="69" t="s">
        <v>111</v>
      </c>
      <c r="AG48" s="407" t="s">
        <v>111</v>
      </c>
      <c r="AH48" s="69" t="s">
        <v>112</v>
      </c>
      <c r="AI48" s="69" t="s">
        <v>113</v>
      </c>
      <c r="AJ48" s="69" t="s">
        <v>114</v>
      </c>
      <c r="AK48" s="69" t="s">
        <v>115</v>
      </c>
      <c r="AL48" s="407" t="s">
        <v>115</v>
      </c>
      <c r="AM48" s="69" t="s">
        <v>116</v>
      </c>
      <c r="AN48" s="69" t="s">
        <v>117</v>
      </c>
      <c r="AO48" s="69" t="s">
        <v>118</v>
      </c>
      <c r="AP48" s="69" t="s">
        <v>119</v>
      </c>
      <c r="AQ48" s="407" t="s">
        <v>119</v>
      </c>
    </row>
    <row r="49" spans="2:43" ht="17.25" x14ac:dyDescent="0.4">
      <c r="B49" s="541"/>
      <c r="C49" s="542"/>
      <c r="D49" s="68" t="s">
        <v>52</v>
      </c>
      <c r="E49" s="68" t="s">
        <v>55</v>
      </c>
      <c r="F49" s="68" t="s">
        <v>56</v>
      </c>
      <c r="G49" s="68" t="s">
        <v>60</v>
      </c>
      <c r="H49" s="404" t="s">
        <v>61</v>
      </c>
      <c r="I49" s="68" t="s">
        <v>62</v>
      </c>
      <c r="J49" s="68" t="s">
        <v>73</v>
      </c>
      <c r="K49" s="68" t="s">
        <v>77</v>
      </c>
      <c r="L49" s="68" t="s">
        <v>81</v>
      </c>
      <c r="M49" s="404" t="s">
        <v>82</v>
      </c>
      <c r="N49" s="68" t="s">
        <v>83</v>
      </c>
      <c r="O49" s="68" t="s">
        <v>84</v>
      </c>
      <c r="P49" s="68" t="s">
        <v>85</v>
      </c>
      <c r="Q49" s="68" t="s">
        <v>86</v>
      </c>
      <c r="R49" s="404" t="s">
        <v>87</v>
      </c>
      <c r="S49" s="66" t="s">
        <v>344</v>
      </c>
      <c r="T49" s="66" t="s">
        <v>345</v>
      </c>
      <c r="U49" s="66" t="s">
        <v>346</v>
      </c>
      <c r="V49" s="66" t="s">
        <v>347</v>
      </c>
      <c r="W49" s="408" t="s">
        <v>348</v>
      </c>
      <c r="X49" s="66" t="s">
        <v>349</v>
      </c>
      <c r="Y49" s="66" t="s">
        <v>350</v>
      </c>
      <c r="Z49" s="66" t="s">
        <v>351</v>
      </c>
      <c r="AA49" s="66" t="s">
        <v>352</v>
      </c>
      <c r="AB49" s="408" t="s">
        <v>353</v>
      </c>
      <c r="AC49" s="66" t="s">
        <v>354</v>
      </c>
      <c r="AD49" s="66" t="s">
        <v>355</v>
      </c>
      <c r="AE49" s="66" t="s">
        <v>356</v>
      </c>
      <c r="AF49" s="66" t="s">
        <v>357</v>
      </c>
      <c r="AG49" s="408" t="s">
        <v>358</v>
      </c>
      <c r="AH49" s="66" t="s">
        <v>359</v>
      </c>
      <c r="AI49" s="66" t="s">
        <v>360</v>
      </c>
      <c r="AJ49" s="66" t="s">
        <v>361</v>
      </c>
      <c r="AK49" s="66" t="s">
        <v>362</v>
      </c>
      <c r="AL49" s="408" t="s">
        <v>363</v>
      </c>
      <c r="AM49" s="66" t="s">
        <v>364</v>
      </c>
      <c r="AN49" s="66" t="s">
        <v>365</v>
      </c>
      <c r="AO49" s="66" t="s">
        <v>366</v>
      </c>
      <c r="AP49" s="66" t="s">
        <v>367</v>
      </c>
      <c r="AQ49" s="408" t="s">
        <v>368</v>
      </c>
    </row>
    <row r="50" spans="2:43" ht="15.75" x14ac:dyDescent="0.25">
      <c r="B50" s="532" t="s">
        <v>165</v>
      </c>
      <c r="C50" s="540"/>
      <c r="D50" s="67"/>
      <c r="E50" s="67"/>
      <c r="F50" s="67"/>
      <c r="G50" s="67"/>
      <c r="H50" s="403"/>
      <c r="I50" s="67"/>
      <c r="J50" s="67"/>
      <c r="K50" s="67"/>
      <c r="L50" s="67"/>
      <c r="M50" s="403"/>
      <c r="N50" s="67"/>
      <c r="O50" s="67"/>
      <c r="P50" s="67"/>
      <c r="Q50" s="67"/>
      <c r="R50" s="403"/>
      <c r="S50" s="69"/>
      <c r="T50" s="69"/>
      <c r="U50" s="69"/>
      <c r="V50" s="69"/>
      <c r="W50" s="407"/>
      <c r="X50" s="69"/>
      <c r="Y50" s="69"/>
      <c r="Z50" s="69"/>
      <c r="AA50" s="69"/>
      <c r="AB50" s="407"/>
      <c r="AC50" s="69"/>
      <c r="AD50" s="69"/>
      <c r="AE50" s="69"/>
      <c r="AF50" s="69"/>
      <c r="AG50" s="407"/>
      <c r="AH50" s="69"/>
      <c r="AI50" s="69"/>
      <c r="AJ50" s="69"/>
      <c r="AK50" s="69"/>
      <c r="AL50" s="407"/>
      <c r="AM50" s="69"/>
      <c r="AN50" s="69"/>
      <c r="AO50" s="69"/>
      <c r="AP50" s="69"/>
      <c r="AQ50" s="407"/>
    </row>
    <row r="51" spans="2:43" outlineLevel="1" x14ac:dyDescent="0.25">
      <c r="B51" s="228" t="s">
        <v>331</v>
      </c>
      <c r="C51" s="293"/>
      <c r="D51" s="241">
        <f>+D73+D79+D85+D91+D97+D103</f>
        <v>4036.4</v>
      </c>
      <c r="E51" s="241">
        <f>+E73+E79+E85+E91+E97+E103</f>
        <v>4263.5</v>
      </c>
      <c r="F51" s="241">
        <f>+F73+F79+F85+F91+F97+F103</f>
        <v>4308.7</v>
      </c>
      <c r="G51" s="241">
        <f>+G73+G79+G85+G91+G97+G103</f>
        <v>4104.2079999999996</v>
      </c>
      <c r="H51" s="31"/>
      <c r="I51" s="241">
        <f>+I73+I79+I85+I91+I97+I103</f>
        <v>5559</v>
      </c>
      <c r="J51" s="241">
        <f>+J73+J79+J85+J91+J97+J103</f>
        <v>6034.5038999999997</v>
      </c>
      <c r="K51" s="241">
        <f>+K73+K79+K85+K91+K97+K103</f>
        <v>6156.3000000000011</v>
      </c>
      <c r="L51" s="241">
        <f>+L73+L79+L85+L91+L97+L103</f>
        <v>5867.4989989999995</v>
      </c>
      <c r="M51" s="31"/>
      <c r="N51" s="241">
        <f>+N73+N79+N85+N91+N97+N103</f>
        <v>5615.5999999999995</v>
      </c>
      <c r="O51" s="241">
        <f>+O73+O79+O85+O91+O97+O103</f>
        <v>6216</v>
      </c>
      <c r="P51" s="241">
        <f>+P73+P79+P85+P91+P97+P103</f>
        <v>6122.1</v>
      </c>
      <c r="Q51" s="241">
        <f>+Q73+Q79+Q85+Q91+Q97+Q103</f>
        <v>5874.2</v>
      </c>
      <c r="R51" s="31"/>
      <c r="S51" s="241">
        <f>+S73+S79+S85+S91+S97+S103</f>
        <v>5668.8556519947915</v>
      </c>
      <c r="T51" s="241">
        <f>+T73+T79+T85+T91+T97+T103</f>
        <v>6273.6058323749094</v>
      </c>
      <c r="U51" s="241">
        <f>+U73+U79+U85+U91+U97+U103</f>
        <v>6146.0281630536056</v>
      </c>
      <c r="V51" s="241">
        <f>+V73+V79+V85+V91+V97+V103</f>
        <v>5909.6488470363565</v>
      </c>
      <c r="W51" s="31"/>
      <c r="X51" s="241">
        <f>+X73+X79+X85+X91+X97+X103</f>
        <v>5709.7075164243688</v>
      </c>
      <c r="Y51" s="241">
        <f>+Y73+Y79+Y85+Y91+Y97+Y103</f>
        <v>6315.9389939945449</v>
      </c>
      <c r="Z51" s="241">
        <f>+Z73+Z79+Z85+Z91+Z97+Z103</f>
        <v>6184.3194353875542</v>
      </c>
      <c r="AA51" s="241">
        <f>+AA73+AA79+AA85+AA91+AA97+AA103</f>
        <v>5948.3321999928012</v>
      </c>
      <c r="AB51" s="31"/>
      <c r="AC51" s="241">
        <f>+AC73+AC79+AC85+AC91+AC97+AC103</f>
        <v>5748.072268812035</v>
      </c>
      <c r="AD51" s="241">
        <f>+AD73+AD79+AD85+AD91+AD97+AD103</f>
        <v>6358.3941892435632</v>
      </c>
      <c r="AE51" s="241">
        <f>+AE73+AE79+AE85+AE91+AE97+AE103</f>
        <v>6226.4916041284232</v>
      </c>
      <c r="AF51" s="241">
        <f>+AF73+AF79+AF85+AF91+AF97+AF103</f>
        <v>5988.2325807211646</v>
      </c>
      <c r="AG51" s="31"/>
      <c r="AH51" s="241">
        <f>+AH73+AH79+AH85+AH91+AH97+AH103</f>
        <v>5787.084774918394</v>
      </c>
      <c r="AI51" s="241">
        <f>+AI73+AI79+AI85+AI91+AI97+AI103</f>
        <v>6402.4046493649239</v>
      </c>
      <c r="AJ51" s="241">
        <f>+AJ73+AJ79+AJ85+AJ91+AJ97+AJ103</f>
        <v>6270.5248006138072</v>
      </c>
      <c r="AK51" s="241">
        <f>+AK73+AK79+AK85+AK91+AK97+AK103</f>
        <v>6029.4644345073648</v>
      </c>
      <c r="AL51" s="31"/>
      <c r="AM51" s="241">
        <f>+AM73+AM79+AM85+AM91+AM97+AM103</f>
        <v>5827.4133713730671</v>
      </c>
      <c r="AN51" s="241">
        <f>+AN73+AN79+AN85+AN91+AN97+AN103</f>
        <v>6448.0033733616528</v>
      </c>
      <c r="AO51" s="241">
        <f>+AO73+AO79+AO85+AO91+AO97+AO103</f>
        <v>6316.1214730186502</v>
      </c>
      <c r="AP51" s="241">
        <f>+AP73+AP79+AP85+AP91+AP97+AP103</f>
        <v>6072.1608326379937</v>
      </c>
      <c r="AQ51" s="31"/>
    </row>
    <row r="52" spans="2:43" outlineLevel="1" x14ac:dyDescent="0.25">
      <c r="B52" s="228" t="s">
        <v>166</v>
      </c>
      <c r="C52" s="293"/>
      <c r="D52" s="120">
        <f>+(D73/D51*D75)+(D79/D51*D81)+(D85/D51*D87)+(D91/D51*D93)+(D97/D51*D99)+(D103/D51*D105)</f>
        <v>20.051755029233966</v>
      </c>
      <c r="E52" s="120">
        <f>+(E73/E51*E75)+(E79/E51*E81)+(E85/E51*E87)+(E91/E51*E93)+(E97/E51*E99)+(E103/E51*E105)</f>
        <v>19.514230233376335</v>
      </c>
      <c r="F52" s="120">
        <f>+(F73/F51*F75)+(F79/F51*F81)+(F85/F51*F87)+(F91/F51*F93)+(F97/F51*F99)+(F103/F51*F105)</f>
        <v>19.276487571657345</v>
      </c>
      <c r="G52" s="120">
        <f>+(G73/G51*G75)+(G79/G51*G81)+(G85/G51*G87)+(G91/G51*G93)+(G97/G51*G99)+(G103/G51*G105)</f>
        <v>19.98737853634309</v>
      </c>
      <c r="H52" s="31"/>
      <c r="I52" s="120">
        <f>+(I73/I51*I75)+(I79/I51*I81)+(I85/I51*I87)+(I91/I51*I93)+(I97/I51*I99)+(I103/I51*I105)</f>
        <v>17.707042633567188</v>
      </c>
      <c r="J52" s="120">
        <f>+(J73/J51*J75)+(J79/J51*J81)+(J85/J51*J87)+(J91/J51*J93)+(J97/J51*J99)+(J103/J51*J105)</f>
        <v>17.179728071498985</v>
      </c>
      <c r="K52" s="120">
        <f>+(K73/K51*K75)+(K79/K51*K81)+(K85/K51*K87)+(K91/K51*K93)+(K97/K51*K99)+(K103/K51*K105)</f>
        <v>17.055023829248086</v>
      </c>
      <c r="L52" s="120">
        <f>+(L73/L51*L75)+(L79/L51*L81)+(L85/L51*L87)+(L91/L51*L93)+(L97/L51*L99)+(L103/L51*L105)</f>
        <v>17.925037162256018</v>
      </c>
      <c r="M52" s="31"/>
      <c r="N52" s="120">
        <f>+(N73/N51*N75)+(N79/N51*N81)+(N85/N51*N87)+(N91/N51*N93)+(N97/N51*N99)+(N103/N51*N105)</f>
        <v>18.174105527459222</v>
      </c>
      <c r="O52" s="120">
        <f>+(O73/O51*O75)+(O79/O51*O81)+(O85/O51*O87)+(O91/O51*O93)+(O97/O51*O99)+(O103/O51*O105)</f>
        <v>17.897038288288289</v>
      </c>
      <c r="P52" s="120">
        <f>+(P73/P51*P75)+(P79/P51*P81)+(P85/P51*P87)+(P91/P51*P93)+(P97/P51*P99)+(P103/P51*P105)</f>
        <v>18.445283644501067</v>
      </c>
      <c r="Q52" s="120">
        <f>+(Q73/Q51*Q75)+(Q79/Q51*Q81)+(Q85/Q51*Q87)+(Q91/Q51*Q93)+(Q97/Q51*Q99)+(Q103/Q51*Q105)</f>
        <v>19.259164413877631</v>
      </c>
      <c r="R52" s="31"/>
      <c r="S52" s="120">
        <f>+(S73/S51*S75)+(S79/S51*S81)+(S85/S51*S87)+(S91/S51*S93)+(S97/S51*S99)+(S103/S51*S105)</f>
        <v>19.19977287485721</v>
      </c>
      <c r="T52" s="120">
        <f>+(T73/T51*T75)+(T79/T51*T81)+(T85/T51*T87)+(T91/T51*T93)+(T97/T51*T99)+(T103/T51*T105)</f>
        <v>19.05116616694449</v>
      </c>
      <c r="U52" s="120">
        <f>+(U73/U51*U75)+(U79/U51*U81)+(U85/U51*U87)+(U91/U51*U93)+(U97/U51*U99)+(U103/U51*U105)</f>
        <v>19.718255081162201</v>
      </c>
      <c r="V52" s="120">
        <f>+(V73/V51*V75)+(V79/V51*V81)+(V85/V51*V87)+(V91/V51*V93)+(V97/V51*V99)+(V103/V51*V105)</f>
        <v>20.543755869438549</v>
      </c>
      <c r="W52" s="31"/>
      <c r="X52" s="120">
        <f>+(X73/X51*X75)+(X79/X51*X81)+(X85/X51*X87)+(X91/X51*X93)+(X97/X51*X99)+(X103/X51*X105)</f>
        <v>20.438130923190705</v>
      </c>
      <c r="Y52" s="120">
        <f>+(Y73/Y51*Y75)+(Y79/Y51*Y81)+(Y85/Y51*Y87)+(Y91/Y51*Y93)+(Y97/Y51*Y99)+(Y103/Y51*Y105)</f>
        <v>20.329746956067158</v>
      </c>
      <c r="Z52" s="120">
        <f>+(Z73/Z51*Z75)+(Z79/Z51*Z81)+(Z85/Z51*Z87)+(Z91/Z51*Z93)+(Z97/Z51*Z99)+(Z103/Z51*Z105)</f>
        <v>21.030970605574691</v>
      </c>
      <c r="AA52" s="120">
        <f>+(AA73/AA51*AA75)+(AA79/AA51*AA81)+(AA85/AA51*AA87)+(AA91/AA51*AA93)+(AA97/AA51*AA99)+(AA103/AA51*AA105)</f>
        <v>21.915600161462333</v>
      </c>
      <c r="AB52" s="31"/>
      <c r="AC52" s="120">
        <f>+(AC73/AC51*AC75)+(AC79/AC51*AC81)+(AC85/AC51*AC87)+(AC91/AC51*AC93)+(AC97/AC51*AC99)+(AC103/AC51*AC105)</f>
        <v>21.798976242946718</v>
      </c>
      <c r="AD52" s="120">
        <f>+(AD73/AD51*AD75)+(AD79/AD51*AD81)+(AD85/AD51*AD87)+(AD91/AD51*AD93)+(AD97/AD51*AD99)+(AD103/AD51*AD105)</f>
        <v>21.705602052048803</v>
      </c>
      <c r="AE52" s="120">
        <f>+(AE73/AE51*AE75)+(AE79/AE51*AE81)+(AE85/AE51*AE87)+(AE91/AE51*AE93)+(AE97/AE51*AE99)+(AE103/AE51*AE105)</f>
        <v>22.432319996651255</v>
      </c>
      <c r="AF52" s="120">
        <f>+(AF73/AF51*AF75)+(AF79/AF51*AF81)+(AF85/AF51*AF87)+(AF91/AF51*AF93)+(AF97/AF51*AF99)+(AF103/AF51*AF105)</f>
        <v>23.394227674411031</v>
      </c>
      <c r="AG52" s="31"/>
      <c r="AH52" s="120">
        <f>+(AH73/AH51*AH75)+(AH79/AH51*AH81)+(AH85/AH51*AH87)+(AH91/AH51*AH93)+(AH97/AH51*AH99)+(AH103/AH51*AH105)</f>
        <v>23.26933618974968</v>
      </c>
      <c r="AI52" s="120">
        <f>+(AI73/AI51*AI75)+(AI79/AI51*AI81)+(AI85/AI51*AI87)+(AI91/AI51*AI93)+(AI97/AI51*AI99)+(AI103/AI51*AI105)</f>
        <v>23.186468685723117</v>
      </c>
      <c r="AJ52" s="120">
        <f>+(AJ73/AJ51*AJ75)+(AJ79/AJ51*AJ81)+(AJ85/AJ51*AJ87)+(AJ91/AJ51*AJ93)+(AJ97/AJ51*AJ99)+(AJ103/AJ51*AJ105)</f>
        <v>23.93915745532238</v>
      </c>
      <c r="AK52" s="120">
        <f>+(AK73/AK51*AK75)+(AK79/AK51*AK81)+(AK85/AK51*AK87)+(AK91/AK51*AK93)+(AK97/AK51*AK99)+(AK103/AK51*AK105)</f>
        <v>24.988184768704322</v>
      </c>
      <c r="AL52" s="31"/>
      <c r="AM52" s="120">
        <f>+(AM73/AM51*AM75)+(AM79/AM51*AM81)+(AM85/AM51*AM87)+(AM91/AM51*AM93)+(AM97/AM51*AM99)+(AM103/AM51*AM105)</f>
        <v>24.85454426116307</v>
      </c>
      <c r="AN52" s="120">
        <f>+(AN73/AN51*AN75)+(AN79/AN51*AN81)+(AN85/AN51*AN87)+(AN91/AN51*AN93)+(AN97/AN51*AN99)+(AN103/AN51*AN105)</f>
        <v>24.782605911114217</v>
      </c>
      <c r="AO52" s="120">
        <f>+(AO73/AO51*AO75)+(AO79/AO51*AO81)+(AO85/AO51*AO87)+(AO91/AO51*AO93)+(AO97/AO51*AO99)+(AO103/AO51*AO105)</f>
        <v>25.562139333352828</v>
      </c>
      <c r="AP52" s="120">
        <f>+(AP73/AP51*AP75)+(AP79/AP51*AP81)+(AP85/AP51*AP87)+(AP91/AP51*AP93)+(AP97/AP51*AP99)+(AP103/AP51*AP105)</f>
        <v>26.706933514777202</v>
      </c>
      <c r="AQ52" s="31"/>
    </row>
    <row r="53" spans="2:43" outlineLevel="1" x14ac:dyDescent="0.25">
      <c r="B53" s="316" t="s">
        <v>169</v>
      </c>
      <c r="C53" s="303"/>
      <c r="D53" s="102">
        <f>+D77+D83+D89+D95+D101+D107</f>
        <v>5260.8987599999991</v>
      </c>
      <c r="E53" s="102">
        <f>+E77+E83+E89+E95+E101+E107</f>
        <v>5241.5319978000007</v>
      </c>
      <c r="F53" s="102">
        <f>+F77+F83+F89+F95+F101+F107</f>
        <v>5232.5659260000002</v>
      </c>
      <c r="G53" s="102">
        <f>+G77+G83+G89+G95+G101+G107</f>
        <v>5332.1033277126935</v>
      </c>
      <c r="H53" s="31"/>
      <c r="I53" s="102">
        <f>+I77+I83+I89+I95+I101+I107</f>
        <v>6398.1742500000009</v>
      </c>
      <c r="J53" s="102">
        <f>+J77+J83+J89+J95+J101+J107</f>
        <v>6531.2815710492059</v>
      </c>
      <c r="K53" s="102">
        <f>+K77+K83+K89+K95+K101+K107</f>
        <v>6509.7422784000009</v>
      </c>
      <c r="L53" s="102">
        <f>+L77+L83+L89+L95+L101+L107</f>
        <v>6836.3839444273744</v>
      </c>
      <c r="M53" s="31"/>
      <c r="N53" s="102">
        <f>+N77+N83+N89+N95+N101+N107</f>
        <v>6633.8029550000001</v>
      </c>
      <c r="O53" s="102">
        <f>+O77+O83+O89+O95+O101+O107</f>
        <v>7008.6233700000003</v>
      </c>
      <c r="P53" s="102">
        <f>+P77+P83+P89+P95+P101+P107</f>
        <v>7001.2800020000004</v>
      </c>
      <c r="Q53" s="102">
        <f>+Q77+Q83+Q89+Q95+Q101+Q107</f>
        <v>7353.591934</v>
      </c>
      <c r="R53" s="31"/>
      <c r="S53" s="102">
        <f>+S77+S83+S89+S95+S101+S107</f>
        <v>7074.648163612288</v>
      </c>
      <c r="T53" s="102">
        <f>+T77+T83+T89+T95+T101+T107</f>
        <v>7529.7289522446481</v>
      </c>
      <c r="U53" s="102">
        <f>+U77+U83+U89+U95+U101+U107</f>
        <v>7513.7149654160612</v>
      </c>
      <c r="V53" s="102">
        <f>+V77+V83+V89+V95+V101+V107</f>
        <v>7891.4149071955535</v>
      </c>
      <c r="W53" s="31"/>
      <c r="X53" s="102">
        <f>+X77+X83+X89+X95+X101+X107</f>
        <v>7585.2237339974745</v>
      </c>
      <c r="Y53" s="102">
        <f>+Y77+Y83+Y89+Y95+Y101+Y107</f>
        <v>8089.2908168855865</v>
      </c>
      <c r="Z53" s="102">
        <f>+Z77+Z83+Z89+Z95+Z101+Z107</f>
        <v>8063.8588961894347</v>
      </c>
      <c r="AA53" s="102">
        <f>+AA77+AA83+AA89+AA95+AA101+AA107</f>
        <v>8473.4825579685985</v>
      </c>
      <c r="AB53" s="31"/>
      <c r="AC53" s="102">
        <f>+AC77+AC83+AC89+AC95+AC101+AC107</f>
        <v>8144.635903987336</v>
      </c>
      <c r="AD53" s="102">
        <f>+AD77+AD83+AD89+AD95+AD101+AD107</f>
        <v>8694.804759592158</v>
      </c>
      <c r="AE53" s="102">
        <f>+AE77+AE83+AE89+AE95+AE101+AE107</f>
        <v>8659.8284314568118</v>
      </c>
      <c r="AF53" s="102">
        <f>+AF77+AF83+AF89+AF95+AF101+AF107</f>
        <v>9105.8549634465944</v>
      </c>
      <c r="AG53" s="31"/>
      <c r="AH53" s="102">
        <f>+AH77+AH83+AH89+AH95+AH101+AH107</f>
        <v>8753.0053771002658</v>
      </c>
      <c r="AI53" s="102">
        <f>+AI77+AI83+AI89+AI95+AI101+AI107</f>
        <v>9352.2967596971575</v>
      </c>
      <c r="AJ53" s="102">
        <f>+AJ77+AJ83+AJ89+AJ95+AJ101+AJ107</f>
        <v>9306.8869928226723</v>
      </c>
      <c r="AK53" s="102">
        <f>+AK77+AK83+AK89+AK95+AK101+AK107</f>
        <v>9793.2491374770871</v>
      </c>
      <c r="AL53" s="31"/>
      <c r="AM53" s="102">
        <f>+AM77+AM83+AM89+AM95+AM101+AM107</f>
        <v>9414.4507318475517</v>
      </c>
      <c r="AN53" s="102">
        <f>+AN77+AN83+AN89+AN95+AN101+AN107</f>
        <v>10067.294570480086</v>
      </c>
      <c r="AO53" s="102">
        <f>+AO77+AO83+AO89+AO95+AO101+AO107</f>
        <v>10010.121782660435</v>
      </c>
      <c r="AP53" s="102">
        <f>+AP77+AP83+AP89+AP95+AP101+AP107</f>
        <v>10540.971717139309</v>
      </c>
      <c r="AQ53" s="31"/>
    </row>
    <row r="54" spans="2:43" outlineLevel="1" x14ac:dyDescent="0.25">
      <c r="B54" s="138" t="s">
        <v>332</v>
      </c>
      <c r="C54" s="139"/>
      <c r="D54" s="140">
        <f>+D109+D115+D121+D127</f>
        <v>10377.9</v>
      </c>
      <c r="E54" s="140">
        <f>+E109+E115+E121+E127</f>
        <v>11495</v>
      </c>
      <c r="F54" s="140">
        <f>+F109+F115+F121+F127</f>
        <v>11376.4</v>
      </c>
      <c r="G54" s="140">
        <f>+G109+G115+G121+G127</f>
        <v>12001.89</v>
      </c>
      <c r="H54" s="142"/>
      <c r="I54" s="140">
        <f>+I109+I115+I121+I127</f>
        <v>25882.400000000001</v>
      </c>
      <c r="J54" s="140">
        <f>+J109+J115+J121+J127</f>
        <v>28145.8</v>
      </c>
      <c r="K54" s="140">
        <f>+K109+K115+K121+K127</f>
        <v>28269.4</v>
      </c>
      <c r="L54" s="140">
        <f>+L109+L115+L121+L127</f>
        <v>28036.3</v>
      </c>
      <c r="M54" s="142"/>
      <c r="N54" s="140">
        <f>+N109+N115+N121+N127</f>
        <v>24766.5</v>
      </c>
      <c r="O54" s="140">
        <f>+O109+O115+O121+O127</f>
        <v>29556</v>
      </c>
      <c r="P54" s="140">
        <f>+P109+P115+P121+P127</f>
        <v>29347.8</v>
      </c>
      <c r="Q54" s="140">
        <f>+Q109+Q115+Q121+Q127</f>
        <v>29576</v>
      </c>
      <c r="R54" s="142"/>
      <c r="S54" s="140">
        <f>+S109+S115+S121+S127</f>
        <v>25382.486834199499</v>
      </c>
      <c r="T54" s="140">
        <f>+T109+T115+T121+T127</f>
        <v>30794.7661062718</v>
      </c>
      <c r="U54" s="140">
        <f>+U109+U115+U121+U127</f>
        <v>30523.990466300929</v>
      </c>
      <c r="V54" s="140">
        <f>+V109+V115+V121+V127</f>
        <v>30780.658145285564</v>
      </c>
      <c r="W54" s="142"/>
      <c r="X54" s="140">
        <f>+X109+X115+X121+X127</f>
        <v>26306.070480606137</v>
      </c>
      <c r="Y54" s="140">
        <f>+Y109+Y115+Y121+Y127</f>
        <v>32018.446870360454</v>
      </c>
      <c r="Z54" s="140">
        <f>+Z109+Z115+Z121+Z127</f>
        <v>31726.966093170446</v>
      </c>
      <c r="AA54" s="140">
        <f>+AA109+AA115+AA121+AA127</f>
        <v>31994.738440585097</v>
      </c>
      <c r="AB54" s="142"/>
      <c r="AC54" s="140">
        <f>+AC109+AC115+AC121+AC127</f>
        <v>27313.019824965613</v>
      </c>
      <c r="AD54" s="140">
        <f>+AD109+AD115+AD121+AD127</f>
        <v>33274.202615613278</v>
      </c>
      <c r="AE54" s="140">
        <f>+AE109+AE115+AE121+AE127</f>
        <v>32973.456872330433</v>
      </c>
      <c r="AF54" s="140">
        <f>+AF109+AF115+AF121+AF127</f>
        <v>33257.303925092252</v>
      </c>
      <c r="AG54" s="142"/>
      <c r="AH54" s="140">
        <f>+AH109+AH115+AH121+AH127</f>
        <v>28367.551169531951</v>
      </c>
      <c r="AI54" s="140">
        <f>+AI109+AI115+AI121+AI127</f>
        <v>34577.047385832608</v>
      </c>
      <c r="AJ54" s="140">
        <f>+AJ109+AJ115+AJ121+AJ127</f>
        <v>34270.308799786711</v>
      </c>
      <c r="AK54" s="140">
        <f>+AK109+AK115+AK121+AK127</f>
        <v>34572.471579625621</v>
      </c>
      <c r="AL54" s="142"/>
      <c r="AM54" s="140">
        <f>+AM109+AM115+AM121+AM127</f>
        <v>29465.667371025313</v>
      </c>
      <c r="AN54" s="140">
        <f>+AN109+AN115+AN121+AN127</f>
        <v>35932.382126439785</v>
      </c>
      <c r="AO54" s="140">
        <f>+AO109+AO115+AO121+AO127</f>
        <v>35620.431084917473</v>
      </c>
      <c r="AP54" s="140">
        <f>+AP109+AP115+AP121+AP127</f>
        <v>35942.10551152454</v>
      </c>
      <c r="AQ54" s="142"/>
    </row>
    <row r="55" spans="2:43" outlineLevel="1" x14ac:dyDescent="0.25">
      <c r="B55" s="136" t="s">
        <v>167</v>
      </c>
      <c r="C55" s="105"/>
      <c r="D55" s="107">
        <f>+(D109/D54*D111)+(D115/D54*D117)+(D121/D54*D123)+(D127/D54*D129)</f>
        <v>1.4222248817198084</v>
      </c>
      <c r="E55" s="107">
        <f>+(E109/E54*E111)+(E115/E54*E117)+(E121/E54*E123)+(E127/E54*E129)</f>
        <v>1.3319469334493257</v>
      </c>
      <c r="F55" s="107">
        <f>+(F109/F54*F111)+(F115/F54*F117)+(F121/F54*F123)+(F127/F54*F129)</f>
        <v>1.3986298653352554</v>
      </c>
      <c r="G55" s="107">
        <f>+(G109/G54*G111)+(G115/G54*G117)+(G121/G54*G123)+(G127/G54*G129)</f>
        <v>1.366286631188921</v>
      </c>
      <c r="H55" s="113"/>
      <c r="I55" s="107">
        <f>+(I109/I54*I111)+(I115/I54*I117)+(I121/I54*I123)+(I127/I54*I129)</f>
        <v>0.93152128859765715</v>
      </c>
      <c r="J55" s="107">
        <f>+(J109/J54*J111)+(J115/J54*J117)+(J121/J54*J123)+(J127/J54*J129)</f>
        <v>0.9020457581592991</v>
      </c>
      <c r="K55" s="107">
        <f>+(K109/K54*K111)+(K115/K54*K117)+(K121/K54*K123)+(K127/K54*K129)</f>
        <v>0.94641077631644099</v>
      </c>
      <c r="L55" s="107">
        <f>+(L109/L54*L111)+(L115/L54*L117)+(L121/L54*L123)+(L127/L54*L129)</f>
        <v>0.93511763321122976</v>
      </c>
      <c r="M55" s="113"/>
      <c r="N55" s="107">
        <f>+(N109/N54*N111)+(N115/N54*N117)+(N121/N54*N123)+(N127/N54*N129)</f>
        <v>0.9610276987059132</v>
      </c>
      <c r="O55" s="107">
        <f>+(O109/O54*O111)+(O115/O54*O117)+(O121/O54*O123)+(O127/O54*O129)</f>
        <v>0.97748115441873051</v>
      </c>
      <c r="P55" s="107">
        <f>+(P109/P54*P111)+(P115/P54*P117)+(P121/P54*P123)+(P127/P54*P129)</f>
        <v>1.0267137843381786</v>
      </c>
      <c r="Q55" s="107">
        <f>+(Q109/Q54*Q111)+(Q115/Q54*Q117)+(Q121/Q54*Q123)+(Q127/Q54*Q129)</f>
        <v>1.0452215985934541</v>
      </c>
      <c r="R55" s="113"/>
      <c r="S55" s="107">
        <f>+(S109/S54*S111)+(S115/S54*S117)+(S121/S54*S123)+(S127/S54*S129)</f>
        <v>1.0385906405440566</v>
      </c>
      <c r="T55" s="107">
        <f>+(T109/T54*T111)+(T115/T54*T117)+(T121/T54*T123)+(T127/T54*T129)</f>
        <v>1.0682870419632808</v>
      </c>
      <c r="U55" s="107">
        <f>+(U109/U54*U111)+(U115/U54*U117)+(U121/U54*U123)+(U127/U54*U129)</f>
        <v>1.1237079966446262</v>
      </c>
      <c r="V55" s="107">
        <f>+(V109/V54*V111)+(V115/V54*V117)+(V121/V54*V123)+(V127/V54*V129)</f>
        <v>1.1460722962882566</v>
      </c>
      <c r="W55" s="113"/>
      <c r="X55" s="107">
        <f>+(X109/X54*X111)+(X115/X54*X117)+(X121/X54*X123)+(X127/X54*X129)</f>
        <v>1.1341542429384563</v>
      </c>
      <c r="Y55" s="107">
        <f>+(Y109/Y54*Y111)+(Y115/Y54*Y117)+(Y121/Y54*Y123)+(Y127/Y54*Y129)</f>
        <v>1.1693274857964306</v>
      </c>
      <c r="Z55" s="107">
        <f>+(Z109/Z54*Z111)+(Z115/Z54*Z117)+(Z121/Z54*Z123)+(Z127/Z54*Z129)</f>
        <v>1.2299539681031573</v>
      </c>
      <c r="AA55" s="107">
        <f>+(AA109/AA54*AA111)+(AA115/AA54*AA117)+(AA121/AA54*AA123)+(AA127/AA54*AA129)</f>
        <v>1.2541402279229739</v>
      </c>
      <c r="AB55" s="113"/>
      <c r="AC55" s="107">
        <f>+(AC109/AC54*AC111)+(AC115/AC54*AC117)+(AC121/AC54*AC123)+(AC127/AC54*AC129)</f>
        <v>1.2415199541017345</v>
      </c>
      <c r="AD55" s="107">
        <f>+(AD109/AD54*AD111)+(AD115/AD54*AD117)+(AD121/AD54*AD123)+(AD127/AD54*AD129)</f>
        <v>1.280487905781913</v>
      </c>
      <c r="AE55" s="107">
        <f>+(AE109/AE54*AE111)+(AE115/AE54*AE117)+(AE121/AE54*AE123)+(AE127/AE54*AE129)</f>
        <v>1.3464834848930967</v>
      </c>
      <c r="AF55" s="107">
        <f>+(AF109/AF54*AF111)+(AF115/AF54*AF117)+(AF121/AF54*AF123)+(AF127/AF54*AF129)</f>
        <v>1.3726891105846752</v>
      </c>
      <c r="AG55" s="113"/>
      <c r="AH55" s="107">
        <f>+(AH109/AH54*AH111)+(AH115/AH54*AH117)+(AH121/AH54*AH123)+(AH127/AH54*AH129)</f>
        <v>1.3601379274741088</v>
      </c>
      <c r="AI55" s="107">
        <f>+(AI109/AI54*AI111)+(AI115/AI54*AI117)+(AI121/AI54*AI123)+(AI127/AI54*AI129)</f>
        <v>1.402749953292787</v>
      </c>
      <c r="AJ55" s="107">
        <f>+(AJ109/AJ54*AJ111)+(AJ115/AJ54*AJ117)+(AJ121/AJ54*AJ123)+(AJ127/AJ54*AJ129)</f>
        <v>1.4745721525897315</v>
      </c>
      <c r="AK55" s="107">
        <f>+(AK109/AK54*AK111)+(AK115/AK54*AK117)+(AK121/AK54*AK123)+(AK127/AK54*AK129)</f>
        <v>1.5030489733960257</v>
      </c>
      <c r="AL55" s="113"/>
      <c r="AM55" s="107">
        <f>+(AM109/AM54*AM111)+(AM115/AM54*AM117)+(AM121/AM54*AM123)+(AM127/AM54*AM129)</f>
        <v>1.4908051563634221</v>
      </c>
      <c r="AN55" s="107">
        <f>+(AN109/AN54*AN111)+(AN115/AN54*AN117)+(AN121/AN54*AN123)+(AN127/AN54*AN129)</f>
        <v>1.5372740858473768</v>
      </c>
      <c r="AO55" s="107">
        <f>+(AO109/AO54*AO111)+(AO115/AO54*AO117)+(AO121/AO54*AO123)+(AO127/AO54*AO129)</f>
        <v>1.6154404476309763</v>
      </c>
      <c r="AP55" s="107">
        <f>+(AP109/AP54*AP111)+(AP115/AP54*AP117)+(AP121/AP54*AP123)+(AP127/AP54*AP129)</f>
        <v>1.6464136626639179</v>
      </c>
      <c r="AQ55" s="113"/>
    </row>
    <row r="56" spans="2:43" outlineLevel="1" x14ac:dyDescent="0.25">
      <c r="B56" s="137" t="s">
        <v>170</v>
      </c>
      <c r="C56" s="108"/>
      <c r="D56" s="125">
        <f>+D113+D119+D125+D132</f>
        <v>959.38099399999987</v>
      </c>
      <c r="E56" s="125">
        <f>+E113+E119+E125+E132</f>
        <v>964.57599000000005</v>
      </c>
      <c r="F56" s="125">
        <f>+F113+F119+F125+F132</f>
        <v>1002.4164863999999</v>
      </c>
      <c r="G56" s="125">
        <f>+G113+G119+G125+G132</f>
        <v>1065.87142064</v>
      </c>
      <c r="H56" s="114"/>
      <c r="I56" s="125">
        <f>+I113+I119+I125+I132</f>
        <v>1567.1504289999998</v>
      </c>
      <c r="J56" s="125">
        <f>+J113+J119+J125+J132</f>
        <v>1599.4943684999998</v>
      </c>
      <c r="K56" s="125">
        <f>+K113+K119+K125+K132</f>
        <v>1658.7768176000002</v>
      </c>
      <c r="L56" s="125">
        <f>+L113+L119+L125+L132</f>
        <v>1704.1205024999999</v>
      </c>
      <c r="M56" s="114"/>
      <c r="N56" s="125">
        <f>+N113+N119+N125+N132</f>
        <v>1547.0840125</v>
      </c>
      <c r="O56" s="125">
        <f>+O113+O119+O125+O132</f>
        <v>1829.0972790000001</v>
      </c>
      <c r="P56" s="125">
        <f>+P113+P119+P125+P132</f>
        <v>1875.1710295999999</v>
      </c>
      <c r="Q56" s="125">
        <f>+Q113+Q119+Q125+Q132</f>
        <v>2009.37581</v>
      </c>
      <c r="R56" s="114"/>
      <c r="S56" s="125">
        <f>+S113+S119+S125+S132</f>
        <v>1713.530861882602</v>
      </c>
      <c r="T56" s="125">
        <f>+T113+T119+T125+T132</f>
        <v>2072.5519242720729</v>
      </c>
      <c r="U56" s="125">
        <f>+U113+U119+U125+U132</f>
        <v>2126.6032349421744</v>
      </c>
      <c r="V56" s="125">
        <f>+V113+V119+V125+V132</f>
        <v>2292.9958715190319</v>
      </c>
      <c r="W56" s="114"/>
      <c r="X56" s="125">
        <f>+X113+X119+X125+X132</f>
        <v>1939.2841942901393</v>
      </c>
      <c r="Y56" s="125">
        <f>+Y113+Y119+Y125+Y132</f>
        <v>2358.7231486155861</v>
      </c>
      <c r="Z56" s="125">
        <f>+Z113+Z119+Z125+Z132</f>
        <v>2419.407886214497</v>
      </c>
      <c r="AA56" s="125">
        <f>+AA113+AA119+AA125+AA132</f>
        <v>2608.1827564137361</v>
      </c>
      <c r="AB56" s="114"/>
      <c r="AC56" s="125">
        <f>+AC113+AC119+AC125+AC132</f>
        <v>2204.1278427656198</v>
      </c>
      <c r="AD56" s="125">
        <f>+AD113+AD119+AD125+AD132</f>
        <v>2684.2544835012709</v>
      </c>
      <c r="AE56" s="125">
        <f>+AE113+AE119+AE125+AE132</f>
        <v>2752.6893373425187</v>
      </c>
      <c r="AF56" s="125">
        <f>+AF113+AF119+AF125+AF132</f>
        <v>2967.3760314496426</v>
      </c>
      <c r="AG56" s="114"/>
      <c r="AH56" s="125">
        <f>+AH113+AH119+AH125+AH132</f>
        <v>2507.9458465907901</v>
      </c>
      <c r="AI56" s="125">
        <f>+AI113+AI119+AI125+AI132</f>
        <v>3055.685951145188</v>
      </c>
      <c r="AJ56" s="125">
        <f>+AJ113+AJ119+AJ125+AJ132</f>
        <v>3133.1106670426116</v>
      </c>
      <c r="AK56" s="125">
        <f>+AK113+AK119+AK125+AK132</f>
        <v>3377.6676645087718</v>
      </c>
      <c r="AL56" s="114"/>
      <c r="AM56" s="125">
        <f>+AM113+AM119+AM125+AM132</f>
        <v>2855.2919754069089</v>
      </c>
      <c r="AN56" s="125">
        <f>+AN113+AN119+AN125+AN132</f>
        <v>3479.9889528017043</v>
      </c>
      <c r="AO56" s="125">
        <f>+AO113+AO119+AO125+AO132</f>
        <v>3567.646478470901</v>
      </c>
      <c r="AP56" s="125">
        <f>+AP113+AP119+AP125+AP132</f>
        <v>3846.4122826403373</v>
      </c>
      <c r="AQ56" s="114"/>
    </row>
    <row r="57" spans="2:43" outlineLevel="1" x14ac:dyDescent="0.25">
      <c r="B57" s="314" t="s">
        <v>173</v>
      </c>
      <c r="C57" s="315"/>
      <c r="D57" s="242">
        <v>128</v>
      </c>
      <c r="E57" s="242">
        <v>124</v>
      </c>
      <c r="F57" s="242">
        <v>118</v>
      </c>
      <c r="G57" s="242">
        <v>124</v>
      </c>
      <c r="H57" s="179"/>
      <c r="I57" s="242">
        <v>284</v>
      </c>
      <c r="J57" s="242">
        <v>259</v>
      </c>
      <c r="K57" s="242">
        <v>194</v>
      </c>
      <c r="L57" s="242">
        <v>281</v>
      </c>
      <c r="M57" s="179"/>
      <c r="N57" s="242">
        <v>219.5</v>
      </c>
      <c r="O57" s="242">
        <v>238</v>
      </c>
      <c r="P57" s="242">
        <v>222</v>
      </c>
      <c r="Q57" s="242">
        <v>235</v>
      </c>
      <c r="R57" s="179"/>
      <c r="S57" s="242">
        <f>+N57*(1+S58)</f>
        <v>201.52487458445836</v>
      </c>
      <c r="T57" s="242">
        <f>+O57*(1+T58)</f>
        <v>227.15056271681621</v>
      </c>
      <c r="U57" s="242">
        <f>+P57*(1+U58)</f>
        <v>213.8499208147752</v>
      </c>
      <c r="V57" s="242">
        <f>+Q57*(1+V58)</f>
        <v>215.73644846363894</v>
      </c>
      <c r="W57" s="179"/>
      <c r="X57" s="242">
        <f>+S57*(1+X58)</f>
        <v>189.12294659111367</v>
      </c>
      <c r="Y57" s="242">
        <f>+T57*(1+Y58)</f>
        <v>214.32729265882023</v>
      </c>
      <c r="Z57" s="242">
        <f>+U57*(1+Z58)</f>
        <v>201.19653894666695</v>
      </c>
      <c r="AA57" s="242">
        <f>+V57*(1+AA58)</f>
        <v>201.76022294108651</v>
      </c>
      <c r="AB57" s="179"/>
      <c r="AC57" s="242">
        <f>+X57*(1+AC58)</f>
        <v>177.68354220805796</v>
      </c>
      <c r="AD57" s="242">
        <f>+Y57*(1+AD58)</f>
        <v>201.41982920665555</v>
      </c>
      <c r="AE57" s="242">
        <f>+Z57*(1+AE58)</f>
        <v>188.89020234555463</v>
      </c>
      <c r="AF57" s="242">
        <f>+AA57*(1+AF58)</f>
        <v>189.31871477716317</v>
      </c>
      <c r="AG57" s="179"/>
      <c r="AH57" s="242">
        <f>+AC57*(1+AH58)</f>
        <v>166.86526575797154</v>
      </c>
      <c r="AI57" s="242">
        <f>+AD57*(1+AI58)</f>
        <v>189.13630177340923</v>
      </c>
      <c r="AJ57" s="242">
        <f>+AE57*(1+AJ58)</f>
        <v>177.33482791353578</v>
      </c>
      <c r="AK57" s="242">
        <f>+AF57*(1+AK58)</f>
        <v>177.73668403412648</v>
      </c>
      <c r="AL57" s="179"/>
      <c r="AM57" s="242">
        <f>+AH57*(1+AM58)</f>
        <v>156.67721167563406</v>
      </c>
      <c r="AN57" s="242">
        <f>+AI57*(1+AN58)</f>
        <v>177.58041529876922</v>
      </c>
      <c r="AO57" s="242">
        <f>+AJ57*(1+AO58)</f>
        <v>166.49495847216465</v>
      </c>
      <c r="AP57" s="242">
        <f>+AK57*(1+AP58)</f>
        <v>166.87440637215042</v>
      </c>
      <c r="AQ57" s="179"/>
    </row>
    <row r="58" spans="2:43" outlineLevel="1" x14ac:dyDescent="0.25">
      <c r="B58" s="317" t="s">
        <v>293</v>
      </c>
      <c r="C58" s="293"/>
      <c r="D58" s="143">
        <f>+D57/378-1</f>
        <v>-0.66137566137566139</v>
      </c>
      <c r="E58" s="143">
        <f>+E57/415-1</f>
        <v>-0.70120481927710843</v>
      </c>
      <c r="F58" s="143">
        <f>+F57/365-1</f>
        <v>-0.67671232876712328</v>
      </c>
      <c r="G58" s="143">
        <f>+G57/380-1</f>
        <v>-0.67368421052631577</v>
      </c>
      <c r="H58" s="31"/>
      <c r="I58" s="143">
        <f>+I57/D57-1</f>
        <v>1.21875</v>
      </c>
      <c r="J58" s="143">
        <f>+J57/E57-1</f>
        <v>1.088709677419355</v>
      </c>
      <c r="K58" s="143">
        <f>+K57/F57-1</f>
        <v>0.64406779661016955</v>
      </c>
      <c r="L58" s="143">
        <f>+L57/G57-1</f>
        <v>1.2661290322580645</v>
      </c>
      <c r="M58" s="31"/>
      <c r="N58" s="143">
        <f>+N57/I57-1</f>
        <v>-0.227112676056338</v>
      </c>
      <c r="O58" s="143">
        <f>+O57/J57-1</f>
        <v>-8.108108108108103E-2</v>
      </c>
      <c r="P58" s="143">
        <f>+P57/K57-1</f>
        <v>0.14432989690721643</v>
      </c>
      <c r="Q58" s="143">
        <f>+Q57/L57-1</f>
        <v>-0.16370106761565839</v>
      </c>
      <c r="R58" s="31"/>
      <c r="S58" s="119">
        <f>AVERAGE(Q58,P58,O58,N58)</f>
        <v>-8.189123196146525E-2</v>
      </c>
      <c r="T58" s="119">
        <f>AVERAGE(S58,Q58,P58,O58)</f>
        <v>-4.5585870937747061E-2</v>
      </c>
      <c r="U58" s="119">
        <f>AVERAGE(T58,S58,Q58,P58)</f>
        <v>-3.6712068401913572E-2</v>
      </c>
      <c r="V58" s="119">
        <f>AVERAGE(U58,T58,S58,Q58)</f>
        <v>-8.1972559729196065E-2</v>
      </c>
      <c r="W58" s="31"/>
      <c r="X58" s="119">
        <f>AVERAGE(V58,U58,T58,S58)</f>
        <v>-6.154043275758049E-2</v>
      </c>
      <c r="Y58" s="119">
        <f>AVERAGE(X58,V58,U58,T58)</f>
        <v>-5.6452732956609297E-2</v>
      </c>
      <c r="Z58" s="119">
        <f>AVERAGE(Y58,X58,V58,U58)</f>
        <v>-5.916944846132486E-2</v>
      </c>
      <c r="AA58" s="119">
        <f>AVERAGE(Z58,Y58,X58,V58)</f>
        <v>-6.4783793476177687E-2</v>
      </c>
      <c r="AB58" s="31"/>
      <c r="AC58" s="119">
        <f>AVERAGE(AA58,Z58,Y58,X58)</f>
        <v>-6.0486601912923085E-2</v>
      </c>
      <c r="AD58" s="119">
        <f>AVERAGE(AC58,AA58,Z58,Y58)</f>
        <v>-6.0223144201758734E-2</v>
      </c>
      <c r="AE58" s="119">
        <f>AVERAGE(AD58,AC58,AA58,Z58)</f>
        <v>-6.1165747013046091E-2</v>
      </c>
      <c r="AF58" s="119">
        <f>AVERAGE(AE58,AD58,AC58,AA58)</f>
        <v>-6.1664821650976399E-2</v>
      </c>
      <c r="AG58" s="31"/>
      <c r="AH58" s="119">
        <f>AVERAGE(AF58,AE58,AD58,AC58)</f>
        <v>-6.0885078694676076E-2</v>
      </c>
      <c r="AI58" s="119">
        <f>AVERAGE(AH58,AF58,AE58,AD58)</f>
        <v>-6.098469789011432E-2</v>
      </c>
      <c r="AJ58" s="119">
        <f>AVERAGE(AI58,AH58,AF58,AE58)</f>
        <v>-6.1175086312203218E-2</v>
      </c>
      <c r="AK58" s="119">
        <f>AVERAGE(AJ58,AI58,AH58,AF58)</f>
        <v>-6.1177421136992503E-2</v>
      </c>
      <c r="AL58" s="31"/>
      <c r="AM58" s="119">
        <f>AVERAGE(AK58,AJ58,AI58,AH58)</f>
        <v>-6.1055571008496526E-2</v>
      </c>
      <c r="AN58" s="119">
        <f>AVERAGE(AM58,AK58,AJ58,AI58)</f>
        <v>-6.1098194086951642E-2</v>
      </c>
      <c r="AO58" s="119">
        <f>AVERAGE(AN58,AM58,AK58,AJ58)</f>
        <v>-6.1126568136160978E-2</v>
      </c>
      <c r="AP58" s="119">
        <f>AVERAGE(AO58,AN58,AM58,AK58)</f>
        <v>-6.1114438592150412E-2</v>
      </c>
      <c r="AQ58" s="31"/>
    </row>
    <row r="59" spans="2:43" x14ac:dyDescent="0.25">
      <c r="B59" s="292" t="s">
        <v>299</v>
      </c>
      <c r="C59" s="293"/>
      <c r="D59" s="116">
        <v>65</v>
      </c>
      <c r="E59" s="116">
        <v>63</v>
      </c>
      <c r="F59" s="116">
        <v>63</v>
      </c>
      <c r="G59" s="116">
        <v>65</v>
      </c>
      <c r="H59" s="31"/>
      <c r="I59" s="116">
        <v>65</v>
      </c>
      <c r="J59" s="116">
        <v>63</v>
      </c>
      <c r="K59" s="116">
        <v>62</v>
      </c>
      <c r="L59" s="116">
        <v>65</v>
      </c>
      <c r="M59" s="31"/>
      <c r="N59" s="116">
        <v>65</v>
      </c>
      <c r="O59" s="116">
        <v>63</v>
      </c>
      <c r="P59" s="116">
        <v>62</v>
      </c>
      <c r="Q59" s="116">
        <v>65</v>
      </c>
      <c r="R59" s="31"/>
      <c r="S59" s="117">
        <v>65</v>
      </c>
      <c r="T59" s="117">
        <v>63</v>
      </c>
      <c r="U59" s="117">
        <v>62</v>
      </c>
      <c r="V59" s="117">
        <v>65</v>
      </c>
      <c r="W59" s="454"/>
      <c r="X59" s="117">
        <v>65</v>
      </c>
      <c r="Y59" s="117">
        <v>63</v>
      </c>
      <c r="Z59" s="117">
        <v>62</v>
      </c>
      <c r="AA59" s="117">
        <v>65</v>
      </c>
      <c r="AB59" s="31"/>
      <c r="AC59" s="117">
        <v>65</v>
      </c>
      <c r="AD59" s="117">
        <v>63</v>
      </c>
      <c r="AE59" s="117">
        <v>62</v>
      </c>
      <c r="AF59" s="117">
        <v>65</v>
      </c>
      <c r="AG59" s="31"/>
      <c r="AH59" s="117">
        <v>65</v>
      </c>
      <c r="AI59" s="117">
        <v>63</v>
      </c>
      <c r="AJ59" s="117">
        <v>62</v>
      </c>
      <c r="AK59" s="117">
        <v>65</v>
      </c>
      <c r="AL59" s="31"/>
      <c r="AM59" s="117">
        <v>65</v>
      </c>
      <c r="AN59" s="117">
        <v>63</v>
      </c>
      <c r="AO59" s="117">
        <v>62</v>
      </c>
      <c r="AP59" s="117">
        <v>65</v>
      </c>
      <c r="AQ59" s="31"/>
    </row>
    <row r="60" spans="2:43" outlineLevel="1" x14ac:dyDescent="0.25">
      <c r="B60" s="157" t="s">
        <v>220</v>
      </c>
      <c r="C60" s="139"/>
      <c r="D60" s="318"/>
      <c r="E60" s="318"/>
      <c r="F60" s="318"/>
      <c r="G60" s="318"/>
      <c r="H60" s="142"/>
      <c r="I60" s="318"/>
      <c r="J60" s="318"/>
      <c r="K60" s="318"/>
      <c r="L60" s="318"/>
      <c r="M60" s="142"/>
      <c r="N60" s="318"/>
      <c r="O60" s="318"/>
      <c r="P60" s="318"/>
      <c r="Q60" s="163"/>
      <c r="R60" s="142"/>
      <c r="S60" s="163"/>
      <c r="T60" s="163"/>
      <c r="U60" s="163"/>
      <c r="V60" s="163"/>
      <c r="W60" s="142"/>
      <c r="X60" s="163"/>
      <c r="Y60" s="163"/>
      <c r="Z60" s="163"/>
      <c r="AA60" s="163"/>
      <c r="AB60" s="142"/>
      <c r="AC60" s="163"/>
      <c r="AD60" s="163"/>
      <c r="AE60" s="163"/>
      <c r="AF60" s="163"/>
      <c r="AG60" s="142"/>
      <c r="AH60" s="163"/>
      <c r="AI60" s="163"/>
      <c r="AJ60" s="163"/>
      <c r="AK60" s="163"/>
      <c r="AL60" s="142"/>
      <c r="AM60" s="163"/>
      <c r="AN60" s="163"/>
      <c r="AO60" s="163"/>
      <c r="AP60" s="163"/>
      <c r="AQ60" s="142"/>
    </row>
    <row r="61" spans="2:43" outlineLevel="1" x14ac:dyDescent="0.25">
      <c r="B61" s="155" t="s">
        <v>333</v>
      </c>
      <c r="C61" s="105"/>
      <c r="D61" s="145">
        <v>277269</v>
      </c>
      <c r="E61" s="145">
        <v>276180</v>
      </c>
      <c r="F61" s="145">
        <v>296643</v>
      </c>
      <c r="G61" s="145">
        <v>289243</v>
      </c>
      <c r="H61" s="113"/>
      <c r="I61" s="145">
        <v>282563</v>
      </c>
      <c r="J61" s="145">
        <v>280625</v>
      </c>
      <c r="K61" s="145">
        <v>293551</v>
      </c>
      <c r="L61" s="145">
        <v>293024</v>
      </c>
      <c r="M61" s="113"/>
      <c r="N61" s="145">
        <v>312427</v>
      </c>
      <c r="O61" s="145">
        <v>318978</v>
      </c>
      <c r="P61" s="145">
        <v>325851</v>
      </c>
      <c r="Q61" s="145">
        <v>317057</v>
      </c>
      <c r="R61" s="113"/>
      <c r="S61" s="117">
        <f>AVERAGE(Q61,P61,O61,N61)</f>
        <v>318578.25</v>
      </c>
      <c r="T61" s="117">
        <f>AVERAGE(S61,Q61,P61,O61)</f>
        <v>320116.0625</v>
      </c>
      <c r="U61" s="117">
        <f>AVERAGE(T61,S61,Q61,P61)</f>
        <v>320400.578125</v>
      </c>
      <c r="V61" s="117">
        <f>AVERAGE(U61,T61,S61,Q61)</f>
        <v>319037.97265625</v>
      </c>
      <c r="W61" s="113"/>
      <c r="X61" s="117">
        <f>AVERAGE(V61,U61,T61,S61)</f>
        <v>319533.2158203125</v>
      </c>
      <c r="Y61" s="117">
        <f>AVERAGE(X61,V61,U61,T61)</f>
        <v>319771.95727539063</v>
      </c>
      <c r="Z61" s="117">
        <f>AVERAGE(Y61,X61,V61,U61)</f>
        <v>319685.93096923828</v>
      </c>
      <c r="AA61" s="117">
        <f>AVERAGE(Z61,Y61,X61,V61)</f>
        <v>319507.26918029785</v>
      </c>
      <c r="AB61" s="113"/>
      <c r="AC61" s="117">
        <f>AVERAGE(AA61,Z61,Y61,X61)</f>
        <v>319624.59331130981</v>
      </c>
      <c r="AD61" s="117">
        <f>AVERAGE(AC61,AA61,Z61,Y61)</f>
        <v>319647.43768405914</v>
      </c>
      <c r="AE61" s="117">
        <f>AVERAGE(AD61,AC61,AA61,Z61)</f>
        <v>319616.30778622627</v>
      </c>
      <c r="AF61" s="117">
        <f>AVERAGE(AE61,AD61,AC61,AA61)</f>
        <v>319598.90199047327</v>
      </c>
      <c r="AG61" s="113"/>
      <c r="AH61" s="117">
        <f>AVERAGE(AF61,AE61,AD61,AC61)</f>
        <v>319621.81019301713</v>
      </c>
      <c r="AI61" s="117">
        <f>AVERAGE(AH61,AF61,AE61,AD61)</f>
        <v>319621.11441344395</v>
      </c>
      <c r="AJ61" s="117">
        <f>AVERAGE(AI61,AH61,AF61,AE61)</f>
        <v>319614.53359579016</v>
      </c>
      <c r="AK61" s="117">
        <f>AVERAGE(AJ61,AI61,AH61,AF61)</f>
        <v>319614.09004818113</v>
      </c>
      <c r="AL61" s="113"/>
      <c r="AM61" s="117">
        <f>AVERAGE(AK61,AJ61,AI61,AH61)</f>
        <v>319617.88706260809</v>
      </c>
      <c r="AN61" s="117">
        <f>AVERAGE(AM61,AK61,AJ61,AI61)</f>
        <v>319616.90628000582</v>
      </c>
      <c r="AO61" s="117">
        <f>AVERAGE(AN61,AM61,AK61,AJ61)</f>
        <v>319615.85424664628</v>
      </c>
      <c r="AP61" s="117">
        <f>AVERAGE(AO61,AN61,AM61,AK61)</f>
        <v>319616.18440936034</v>
      </c>
      <c r="AQ61" s="113"/>
    </row>
    <row r="62" spans="2:43" outlineLevel="1" x14ac:dyDescent="0.25">
      <c r="B62" s="155" t="s">
        <v>225</v>
      </c>
      <c r="C62" s="105"/>
      <c r="D62" s="319">
        <v>1.8813570936527344</v>
      </c>
      <c r="E62" s="319">
        <v>1.603624447823883</v>
      </c>
      <c r="F62" s="319">
        <v>1.2991575732446072</v>
      </c>
      <c r="G62" s="319">
        <v>1.3014247535808992</v>
      </c>
      <c r="H62" s="113"/>
      <c r="I62" s="319">
        <v>1.5159274214953833</v>
      </c>
      <c r="J62" s="319">
        <v>1.556415144766147</v>
      </c>
      <c r="K62" s="319">
        <v>1.6862896055540604</v>
      </c>
      <c r="L62" s="319">
        <v>1.6893428524625969</v>
      </c>
      <c r="M62" s="113"/>
      <c r="N62" s="319">
        <v>1.6185668972271923</v>
      </c>
      <c r="O62" s="319">
        <v>1.8777031644815629</v>
      </c>
      <c r="P62" s="319">
        <v>2.056</v>
      </c>
      <c r="Q62" s="319">
        <v>2.1629999999999998</v>
      </c>
      <c r="R62" s="320"/>
      <c r="S62" s="161">
        <f>AVERAGE(Q62,P62,O62,N62)</f>
        <v>1.9288175154271887</v>
      </c>
      <c r="T62" s="161">
        <f>AVERAGE(S62,Q62,P62,O62)</f>
        <v>2.0063801699771879</v>
      </c>
      <c r="U62" s="161">
        <f>AVERAGE(T62,S62,Q62,P62)</f>
        <v>2.0385494213510942</v>
      </c>
      <c r="V62" s="161">
        <f>AVERAGE(U62,T62,S62,Q62)</f>
        <v>2.0341867766888675</v>
      </c>
      <c r="W62" s="113"/>
      <c r="X62" s="161">
        <f>AVERAGE(V62,U62,T62,S62)</f>
        <v>2.0019834708610849</v>
      </c>
      <c r="Y62" s="161">
        <f>AVERAGE(X62,V62,U62,T62)</f>
        <v>2.0202749597195586</v>
      </c>
      <c r="Z62" s="161">
        <f>AVERAGE(Y62,X62,V62,U62)</f>
        <v>2.0237486571551515</v>
      </c>
      <c r="AA62" s="161">
        <f>AVERAGE(Z62,Y62,X62,V62)</f>
        <v>2.0200484661061657</v>
      </c>
      <c r="AB62" s="113"/>
      <c r="AC62" s="161">
        <f>AVERAGE(AA62,Z62,Y62,X62)</f>
        <v>2.0165138884604903</v>
      </c>
      <c r="AD62" s="161">
        <f>AVERAGE(AC62,AA62,Z62,Y62)</f>
        <v>2.0201464928603414</v>
      </c>
      <c r="AE62" s="161">
        <f>AVERAGE(AD62,AC62,AA62,Z62)</f>
        <v>2.0201143761455373</v>
      </c>
      <c r="AF62" s="161">
        <f>AVERAGE(AE62,AD62,AC62,AA62)</f>
        <v>2.0192058058931339</v>
      </c>
      <c r="AG62" s="113"/>
      <c r="AH62" s="161">
        <f>AVERAGE(AF62,AE62,AD62,AC62)</f>
        <v>2.0189951408398756</v>
      </c>
      <c r="AI62" s="161">
        <f>AVERAGE(AH62,AF62,AE62,AD62)</f>
        <v>2.0196154539347222</v>
      </c>
      <c r="AJ62" s="161">
        <f>AVERAGE(AI62,AH62,AF62,AE62)</f>
        <v>2.0194826942033171</v>
      </c>
      <c r="AK62" s="161">
        <f>AVERAGE(AJ62,AI62,AH62,AF62)</f>
        <v>2.019324773717762</v>
      </c>
      <c r="AL62" s="113"/>
      <c r="AM62" s="161">
        <f>AVERAGE(AK62,AJ62,AI62,AH62)</f>
        <v>2.019354515673919</v>
      </c>
      <c r="AN62" s="161">
        <f>AVERAGE(AM62,AK62,AJ62,AI62)</f>
        <v>2.0194443593824301</v>
      </c>
      <c r="AO62" s="161">
        <f>AVERAGE(AN62,AM62,AK62,AJ62)</f>
        <v>2.0194015857443572</v>
      </c>
      <c r="AP62" s="161">
        <f>AVERAGE(AO62,AN62,AM62,AK62)</f>
        <v>2.0193813086296171</v>
      </c>
      <c r="AQ62" s="113"/>
    </row>
    <row r="63" spans="2:43" outlineLevel="1" x14ac:dyDescent="0.25">
      <c r="B63" s="112" t="s">
        <v>226</v>
      </c>
      <c r="C63" s="111"/>
      <c r="D63" s="126">
        <f>+D61*D62/1000</f>
        <v>521.64200000000005</v>
      </c>
      <c r="E63" s="126">
        <f>+E61*E62/1000</f>
        <v>442.88900000000001</v>
      </c>
      <c r="F63" s="126">
        <f>+F61*F62/1000</f>
        <v>385.38600000000002</v>
      </c>
      <c r="G63" s="126">
        <f>+G61*G62/1000</f>
        <v>376.428</v>
      </c>
      <c r="H63" s="150"/>
      <c r="I63" s="126">
        <f>+I61*I62/1000</f>
        <v>428.34500000000003</v>
      </c>
      <c r="J63" s="126">
        <f>+J61*J62/1000</f>
        <v>436.76900000000001</v>
      </c>
      <c r="K63" s="126">
        <f>+K61*K62/1000</f>
        <v>495.012</v>
      </c>
      <c r="L63" s="126">
        <f>+L61*L62/1000</f>
        <v>495.01799999999997</v>
      </c>
      <c r="M63" s="150"/>
      <c r="N63" s="126">
        <f>+N61*N62/1000</f>
        <v>505.68400000000003</v>
      </c>
      <c r="O63" s="126">
        <f>+O61*O62/1000</f>
        <v>598.94600000000003</v>
      </c>
      <c r="P63" s="126">
        <f>+P61*P62/1000</f>
        <v>669.949656</v>
      </c>
      <c r="Q63" s="146">
        <f>+Q61*Q62/1000</f>
        <v>685.79429099999993</v>
      </c>
      <c r="R63" s="150"/>
      <c r="S63" s="162">
        <f>+S61*S62/1000</f>
        <v>614.47930863414183</v>
      </c>
      <c r="T63" s="162">
        <f>+T61*T62/1000</f>
        <v>642.2745198911781</v>
      </c>
      <c r="U63" s="162">
        <f>+U61*U62/1000</f>
        <v>653.15241313727483</v>
      </c>
      <c r="V63" s="162">
        <f>+V61*V62/1000</f>
        <v>648.98282523896819</v>
      </c>
      <c r="W63" s="150"/>
      <c r="X63" s="162">
        <f>+X61*X62/1000</f>
        <v>639.7002164633534</v>
      </c>
      <c r="Y63" s="162">
        <f>+Y61*Y62/1000</f>
        <v>646.02727810398414</v>
      </c>
      <c r="Z63" s="162">
        <f>+Z61*Z62/1000</f>
        <v>646.96397351039036</v>
      </c>
      <c r="AA63" s="162">
        <f>+AA61*AA62/1000</f>
        <v>645.42016901743057</v>
      </c>
      <c r="AB63" s="150"/>
      <c r="AC63" s="162">
        <f>+AC61*AC62/1000</f>
        <v>644.52743150579215</v>
      </c>
      <c r="AD63" s="162">
        <f>+AD61*AD62/1000</f>
        <v>645.73465018924662</v>
      </c>
      <c r="AE63" s="162">
        <f>+AE61*AE62/1000</f>
        <v>645.66149820951262</v>
      </c>
      <c r="AF63" s="162">
        <f>+AF61*AF62/1000</f>
        <v>645.33595845623427</v>
      </c>
      <c r="AG63" s="150"/>
      <c r="AH63" s="162">
        <f>+AH61*AH62/1000</f>
        <v>645.31488168614658</v>
      </c>
      <c r="AI63" s="162">
        <f>+AI61*AI62/1000</f>
        <v>645.51174207322936</v>
      </c>
      <c r="AJ63" s="162">
        <f>+AJ61*AJ62/1000</f>
        <v>645.45601941256291</v>
      </c>
      <c r="AK63" s="162">
        <f>+AK61*AK62/1000</f>
        <v>645.40465006355168</v>
      </c>
      <c r="AL63" s="150"/>
      <c r="AM63" s="162">
        <f>+AM61*AM62/1000</f>
        <v>645.42182353003432</v>
      </c>
      <c r="AN63" s="162">
        <f>+AN61*AN62/1000</f>
        <v>645.44855855042056</v>
      </c>
      <c r="AO63" s="162">
        <f>+AO61*AO62/1000</f>
        <v>645.43276289471487</v>
      </c>
      <c r="AP63" s="162">
        <f>+AP61*AP62/1000</f>
        <v>645.42694873177913</v>
      </c>
      <c r="AQ63" s="150"/>
    </row>
    <row r="64" spans="2:43" outlineLevel="1" x14ac:dyDescent="0.25">
      <c r="B64" s="155" t="s">
        <v>227</v>
      </c>
      <c r="C64" s="105"/>
      <c r="D64" s="106">
        <f>+D65-D63</f>
        <v>85.357999999999947</v>
      </c>
      <c r="E64" s="106">
        <f>+E65-E63</f>
        <v>74.11099999999999</v>
      </c>
      <c r="F64" s="106">
        <f>+F65-F63</f>
        <v>69.613999999999976</v>
      </c>
      <c r="G64" s="106">
        <f>+G65-G63</f>
        <v>67.572000000000003</v>
      </c>
      <c r="H64" s="113"/>
      <c r="I64" s="106">
        <f>+I65-I63</f>
        <v>126.65499999999997</v>
      </c>
      <c r="J64" s="106">
        <f>+J65-J63</f>
        <v>128.23099999999999</v>
      </c>
      <c r="K64" s="106">
        <f>+K65-K63</f>
        <v>137.988</v>
      </c>
      <c r="L64" s="106">
        <f>+L65-L63</f>
        <v>129.98200000000003</v>
      </c>
      <c r="M64" s="113"/>
      <c r="N64" s="106">
        <f>+N65-N63</f>
        <v>97.315999999999974</v>
      </c>
      <c r="O64" s="106">
        <f>+O65-O63</f>
        <v>104.05399999999997</v>
      </c>
      <c r="P64" s="106">
        <f>+P65-P63</f>
        <v>112.050344</v>
      </c>
      <c r="Q64" s="106">
        <f>+Q65-Q63</f>
        <v>115.20570900000007</v>
      </c>
      <c r="R64" s="113"/>
      <c r="S64" s="117">
        <f>AVERAGE(Q64,P64,O64,N64)</f>
        <v>107.15651325</v>
      </c>
      <c r="T64" s="117">
        <f>AVERAGE(S64,Q64,P64,O64)</f>
        <v>109.61664156250001</v>
      </c>
      <c r="U64" s="117">
        <f>AVERAGE(T64,S64,Q64,P64)</f>
        <v>111.00730195312502</v>
      </c>
      <c r="V64" s="117">
        <f>AVERAGE(U64,T64,S64,Q64)</f>
        <v>110.74654144140628</v>
      </c>
      <c r="W64" s="113"/>
      <c r="X64" s="117">
        <f>AVERAGE(V64,U64,T64,S64)</f>
        <v>109.63174955175782</v>
      </c>
      <c r="Y64" s="117">
        <f>AVERAGE(X64,V64,U64,T64)</f>
        <v>110.25055862719728</v>
      </c>
      <c r="Z64" s="117">
        <f>AVERAGE(Y64,X64,V64,U64)</f>
        <v>110.4090378933716</v>
      </c>
      <c r="AA64" s="117">
        <f>AVERAGE(Z64,Y64,X64,V64)</f>
        <v>110.25947187843325</v>
      </c>
      <c r="AB64" s="113"/>
      <c r="AC64" s="117">
        <f>AVERAGE(AA64,Z64,Y64,X64)</f>
        <v>110.13770448768999</v>
      </c>
      <c r="AD64" s="117">
        <f>AVERAGE(AC64,AA64,Z64,Y64)</f>
        <v>110.26419322167303</v>
      </c>
      <c r="AE64" s="117">
        <f>AVERAGE(AD64,AC64,AA64,Z64)</f>
        <v>110.26760187029197</v>
      </c>
      <c r="AF64" s="117">
        <f>AVERAGE(AE64,AD64,AC64,AA64)</f>
        <v>110.23224286452206</v>
      </c>
      <c r="AG64" s="113"/>
      <c r="AH64" s="117">
        <f>AVERAGE(AF64,AE64,AD64,AC64)</f>
        <v>110.22543561104426</v>
      </c>
      <c r="AI64" s="117">
        <f>AVERAGE(AH64,AF64,AE64,AD64)</f>
        <v>110.24736839188284</v>
      </c>
      <c r="AJ64" s="117">
        <f>AVERAGE(AI64,AH64,AF64,AE64)</f>
        <v>110.24316218443528</v>
      </c>
      <c r="AK64" s="117">
        <f>AVERAGE(AJ64,AI64,AH64,AF64)</f>
        <v>110.2370522629711</v>
      </c>
      <c r="AL64" s="113"/>
      <c r="AM64" s="117">
        <f>AVERAGE(AK64,AJ64,AI64,AH64)</f>
        <v>110.23825461258336</v>
      </c>
      <c r="AN64" s="117">
        <f>AVERAGE(AM64,AK64,AJ64,AI64)</f>
        <v>110.24145936296814</v>
      </c>
      <c r="AO64" s="117">
        <f>AVERAGE(AN64,AM64,AK64,AJ64)</f>
        <v>110.23998210573947</v>
      </c>
      <c r="AP64" s="117">
        <f>AVERAGE(AO64,AN64,AM64,AK64)</f>
        <v>110.23918708606553</v>
      </c>
      <c r="AQ64" s="113"/>
    </row>
    <row r="65" spans="2:43" s="32" customFormat="1" outlineLevel="1" x14ac:dyDescent="0.25">
      <c r="B65" s="149" t="s">
        <v>224</v>
      </c>
      <c r="C65" s="111"/>
      <c r="D65" s="126">
        <v>607</v>
      </c>
      <c r="E65" s="126">
        <v>517</v>
      </c>
      <c r="F65" s="126">
        <v>455</v>
      </c>
      <c r="G65" s="126">
        <v>444</v>
      </c>
      <c r="H65" s="150"/>
      <c r="I65" s="126">
        <v>555</v>
      </c>
      <c r="J65" s="126">
        <v>565</v>
      </c>
      <c r="K65" s="126">
        <v>633</v>
      </c>
      <c r="L65" s="126">
        <v>625</v>
      </c>
      <c r="M65" s="150"/>
      <c r="N65" s="126">
        <v>603</v>
      </c>
      <c r="O65" s="126">
        <v>703</v>
      </c>
      <c r="P65" s="126">
        <v>782</v>
      </c>
      <c r="Q65" s="146">
        <v>801</v>
      </c>
      <c r="R65" s="150"/>
      <c r="S65" s="146">
        <f>+S64+S63</f>
        <v>721.63582188414182</v>
      </c>
      <c r="T65" s="146">
        <f>+T64+T63</f>
        <v>751.89116145367814</v>
      </c>
      <c r="U65" s="146">
        <f>+U64+U63</f>
        <v>764.15971509039991</v>
      </c>
      <c r="V65" s="146">
        <f>+V64+V63</f>
        <v>759.72936668037448</v>
      </c>
      <c r="W65" s="150"/>
      <c r="X65" s="146">
        <f>+X64+X63</f>
        <v>749.33196601511122</v>
      </c>
      <c r="Y65" s="146">
        <f>+Y64+Y63</f>
        <v>756.27783673118142</v>
      </c>
      <c r="Z65" s="146">
        <f>+Z64+Z63</f>
        <v>757.37301140376201</v>
      </c>
      <c r="AA65" s="146">
        <f>+AA64+AA63</f>
        <v>755.67964089586383</v>
      </c>
      <c r="AB65" s="150"/>
      <c r="AC65" s="146">
        <f>+AC64+AC63</f>
        <v>754.66513599348218</v>
      </c>
      <c r="AD65" s="146">
        <f>+AD64+AD63</f>
        <v>755.99884341091968</v>
      </c>
      <c r="AE65" s="146">
        <f>+AE64+AE63</f>
        <v>755.92910007980458</v>
      </c>
      <c r="AF65" s="146">
        <f>+AF64+AF63</f>
        <v>755.56820132075632</v>
      </c>
      <c r="AG65" s="150"/>
      <c r="AH65" s="146">
        <f>+AH64+AH63</f>
        <v>755.54031729719088</v>
      </c>
      <c r="AI65" s="146">
        <f>+AI64+AI63</f>
        <v>755.75911046511214</v>
      </c>
      <c r="AJ65" s="146">
        <f>+AJ64+AJ63</f>
        <v>755.69918159699819</v>
      </c>
      <c r="AK65" s="146">
        <f>+AK64+AK63</f>
        <v>755.64170232652282</v>
      </c>
      <c r="AL65" s="150"/>
      <c r="AM65" s="146">
        <f>+AM64+AM63</f>
        <v>755.66007814261764</v>
      </c>
      <c r="AN65" s="146">
        <f>+AN64+AN63</f>
        <v>755.69001791338871</v>
      </c>
      <c r="AO65" s="146">
        <f>+AO64+AO63</f>
        <v>755.67274500045437</v>
      </c>
      <c r="AP65" s="146">
        <f>+AP64+AP63</f>
        <v>755.66613581784463</v>
      </c>
      <c r="AQ65" s="150"/>
    </row>
    <row r="66" spans="2:43" outlineLevel="1" x14ac:dyDescent="0.25">
      <c r="B66" s="155" t="s">
        <v>125</v>
      </c>
      <c r="C66" s="105"/>
      <c r="D66" s="106">
        <v>345</v>
      </c>
      <c r="E66" s="106">
        <v>347</v>
      </c>
      <c r="F66" s="106">
        <v>340</v>
      </c>
      <c r="G66" s="106">
        <v>345</v>
      </c>
      <c r="H66" s="113"/>
      <c r="I66" s="106">
        <v>418</v>
      </c>
      <c r="J66" s="106">
        <v>410</v>
      </c>
      <c r="K66" s="106">
        <v>418</v>
      </c>
      <c r="L66" s="106">
        <v>416</v>
      </c>
      <c r="M66" s="113"/>
      <c r="N66" s="106">
        <v>415</v>
      </c>
      <c r="O66" s="106">
        <v>410</v>
      </c>
      <c r="P66" s="106">
        <v>423</v>
      </c>
      <c r="Q66" s="145">
        <v>431</v>
      </c>
      <c r="R66" s="113"/>
      <c r="S66" s="145">
        <f>Q66/(Q66+Q145+Q162+Q176)*S18</f>
        <v>0</v>
      </c>
      <c r="T66" s="145" t="e">
        <f>S66/(S66+S145+S162+S176)*T18</f>
        <v>#DIV/0!</v>
      </c>
      <c r="U66" s="145" t="e">
        <f>T66/(T66+T145+T162+T176)*U18</f>
        <v>#DIV/0!</v>
      </c>
      <c r="V66" s="145" t="e">
        <f>U66/(U66+U145+U162+U176)*V18</f>
        <v>#DIV/0!</v>
      </c>
      <c r="W66" s="113"/>
      <c r="X66" s="145" t="e">
        <f>V66/(V66+V145+V162+V176)*X18</f>
        <v>#DIV/0!</v>
      </c>
      <c r="Y66" s="145" t="e">
        <f>X66/(X66+X145+X162+X176)*Y18</f>
        <v>#DIV/0!</v>
      </c>
      <c r="Z66" s="145" t="e">
        <f>Y66/(Y66+Y145+Y162+Y176)*Z18</f>
        <v>#DIV/0!</v>
      </c>
      <c r="AA66" s="145" t="e">
        <f>Z66/(Z66+Z145+Z162+Z176)*AA18</f>
        <v>#DIV/0!</v>
      </c>
      <c r="AB66" s="113"/>
      <c r="AC66" s="145" t="e">
        <f>AA66/(AA66+AA145+AA162+AA176)*AC18</f>
        <v>#DIV/0!</v>
      </c>
      <c r="AD66" s="145" t="e">
        <f>AC66/(AC66+AC145+AC162+AC176)*AD18</f>
        <v>#DIV/0!</v>
      </c>
      <c r="AE66" s="145" t="e">
        <f>AD66/(AD66+AD145+AD162+AD176)*AE18</f>
        <v>#DIV/0!</v>
      </c>
      <c r="AF66" s="145" t="e">
        <f>AE66/(AE66+AE145+AE162+AE176)*AF18</f>
        <v>#DIV/0!</v>
      </c>
      <c r="AG66" s="113"/>
      <c r="AH66" s="145" t="e">
        <f>AF66/(AF66+AF145+AF162+AF176)*AH18</f>
        <v>#DIV/0!</v>
      </c>
      <c r="AI66" s="145" t="e">
        <f>AH66/(AH66+AH145+AH162+AH176)*AI18</f>
        <v>#DIV/0!</v>
      </c>
      <c r="AJ66" s="145" t="e">
        <f>AI66/(AI66+AI145+AI162+AI176)*AJ18</f>
        <v>#DIV/0!</v>
      </c>
      <c r="AK66" s="145" t="e">
        <f>AJ66/(AJ66+AJ145+AJ162+AJ176)*AK18</f>
        <v>#DIV/0!</v>
      </c>
      <c r="AL66" s="113"/>
      <c r="AM66" s="145" t="e">
        <f>AK66/(AK66+AK145+AK162+AK176)*AM18</f>
        <v>#DIV/0!</v>
      </c>
      <c r="AN66" s="145" t="e">
        <f>AM66/(AM66+AM145+AM162+AM176)*AN18</f>
        <v>#DIV/0!</v>
      </c>
      <c r="AO66" s="145" t="e">
        <f>AN66/(AN66+AN145+AN162+AN176)*AO18</f>
        <v>#DIV/0!</v>
      </c>
      <c r="AP66" s="145" t="e">
        <f>AO66/(AO66+AO145+AO162+AO176)*AP18</f>
        <v>#DIV/0!</v>
      </c>
      <c r="AQ66" s="113"/>
    </row>
    <row r="67" spans="2:43" outlineLevel="1" x14ac:dyDescent="0.25">
      <c r="B67" s="155" t="s">
        <v>221</v>
      </c>
      <c r="C67" s="105"/>
      <c r="D67" s="106">
        <v>4863</v>
      </c>
      <c r="E67" s="106">
        <v>4855</v>
      </c>
      <c r="F67" s="106">
        <v>4970</v>
      </c>
      <c r="G67" s="106">
        <v>4980</v>
      </c>
      <c r="H67" s="113"/>
      <c r="I67" s="106">
        <v>6669</v>
      </c>
      <c r="J67" s="106">
        <v>6705</v>
      </c>
      <c r="K67" s="106">
        <v>6748</v>
      </c>
      <c r="L67" s="106">
        <v>6893</v>
      </c>
      <c r="M67" s="113"/>
      <c r="N67" s="106">
        <v>6944</v>
      </c>
      <c r="O67" s="106">
        <v>7244</v>
      </c>
      <c r="P67" s="106">
        <v>7462</v>
      </c>
      <c r="Q67" s="106">
        <v>7376</v>
      </c>
      <c r="R67" s="113"/>
      <c r="S67" s="145">
        <f>+S68*(S53+S56+S57)</f>
        <v>7221.9634397182463</v>
      </c>
      <c r="T67" s="106">
        <f>+T68*(T53+T56+T57)</f>
        <v>7839.3858479610017</v>
      </c>
      <c r="U67" s="106">
        <f>+U68*(U53+U56+U57)</f>
        <v>7857.5589510027576</v>
      </c>
      <c r="V67" s="106">
        <f>+V68*(V53+V56+V57)</f>
        <v>8233.7494982762892</v>
      </c>
      <c r="W67" s="113"/>
      <c r="X67" s="106">
        <f>+X68*(X53+X56+X57)</f>
        <v>7746.5753469752381</v>
      </c>
      <c r="Y67" s="106">
        <f>+Y68*(Y53+Y56+Y57)</f>
        <v>8487.5362091918396</v>
      </c>
      <c r="Z67" s="106">
        <f>+Z68*(Z53+Z56+Z57)</f>
        <v>8501.1050723860499</v>
      </c>
      <c r="AA67" s="106">
        <f>+AA68*(AA53+AA56+AA57)</f>
        <v>8972.7809345502847</v>
      </c>
      <c r="AB67" s="113"/>
      <c r="AC67" s="106">
        <f>+AC68*(AC53+AC56+AC57)</f>
        <v>8380.0877665530788</v>
      </c>
      <c r="AD67" s="106">
        <f>+AD68*(AD53+AD56+AD57)</f>
        <v>9215.1564480406378</v>
      </c>
      <c r="AE67" s="106">
        <f>+AE68*(AE53+AE56+AE57)</f>
        <v>9230.9980416481867</v>
      </c>
      <c r="AF67" s="106">
        <f>+AF68*(AF53+AF56+AF57)</f>
        <v>9757.1405811775112</v>
      </c>
      <c r="AG67" s="113"/>
      <c r="AH67" s="106">
        <f>+AH68*(AH53+AH56+AH57)</f>
        <v>9094.2928837247891</v>
      </c>
      <c r="AI67" s="106">
        <f>+AI68*(AI53+AI56+AI57)</f>
        <v>10023.89791135885</v>
      </c>
      <c r="AJ67" s="106">
        <f>+AJ68*(AJ53+AJ56+AJ57)</f>
        <v>10039.920040113067</v>
      </c>
      <c r="AK67" s="106">
        <f>+AK68*(AK53+AK56+AK57)</f>
        <v>10622.001353036312</v>
      </c>
      <c r="AL67" s="113"/>
      <c r="AM67" s="106">
        <f>+AM68*(AM53+AM56+AM57)</f>
        <v>9888.3014109885662</v>
      </c>
      <c r="AN67" s="106">
        <f>+AN68*(AN53+AN56+AN57)</f>
        <v>10921.347248576178</v>
      </c>
      <c r="AO67" s="106">
        <f>+AO68*(AO53+AO56+AO57)</f>
        <v>10936.801336564653</v>
      </c>
      <c r="AP67" s="106">
        <f>+AP68*(AP53+AP56+AP57)</f>
        <v>11581.384469194474</v>
      </c>
      <c r="AQ67" s="113"/>
    </row>
    <row r="68" spans="2:43" outlineLevel="1" x14ac:dyDescent="0.25">
      <c r="B68" s="104" t="s">
        <v>223</v>
      </c>
      <c r="C68" s="105"/>
      <c r="D68" s="123">
        <f>+D67/(D53+D56+D57)</f>
        <v>0.76603429408350565</v>
      </c>
      <c r="E68" s="123">
        <f>+E67/(E53+E56+E57)</f>
        <v>0.76696953817486646</v>
      </c>
      <c r="F68" s="123">
        <f>+F67/(F53+F56+F57)</f>
        <v>0.7823097369669022</v>
      </c>
      <c r="G68" s="123">
        <f>+G67/(G53+G56+G57)</f>
        <v>0.76357241359418604</v>
      </c>
      <c r="H68" s="113"/>
      <c r="I68" s="123">
        <f>+I67/(I53+I56+I57)</f>
        <v>0.80842981207625697</v>
      </c>
      <c r="J68" s="123">
        <f>+J67/(J53+J56+J57)</f>
        <v>0.79918701623398403</v>
      </c>
      <c r="K68" s="123">
        <f>+K67/(K53+K56+K57)</f>
        <v>0.80693388230679619</v>
      </c>
      <c r="L68" s="123">
        <f>+L67/(L53+L56+L57)</f>
        <v>0.78138599163784439</v>
      </c>
      <c r="M68" s="113"/>
      <c r="N68" s="123">
        <f>+N67/(N53+N56+N57)</f>
        <v>0.82662858590508137</v>
      </c>
      <c r="O68" s="123">
        <f>+O67/(O53+O56+O57)</f>
        <v>0.7981735313545788</v>
      </c>
      <c r="P68" s="123">
        <f>+P67/(P53+P56+P57)</f>
        <v>0.82013960113469742</v>
      </c>
      <c r="Q68" s="123">
        <f>+Q67/(Q53+Q56+Q57)</f>
        <v>0.76849601881721019</v>
      </c>
      <c r="R68" s="156"/>
      <c r="S68" s="154">
        <f>AVERAGE(Q68,P68,O68,N68)</f>
        <v>0.80335943430289192</v>
      </c>
      <c r="T68" s="154">
        <f>AVERAGE(S68,Q68,P68,O68)</f>
        <v>0.79754214640234455</v>
      </c>
      <c r="U68" s="154">
        <f>AVERAGE(T68,S68,Q68,P68)</f>
        <v>0.79738430016428596</v>
      </c>
      <c r="V68" s="154">
        <f>AVERAGE(U68,T68,S68,Q68)</f>
        <v>0.79169547492168313</v>
      </c>
      <c r="W68" s="113"/>
      <c r="X68" s="154">
        <f>AVERAGE(V68,U68,T68,S68)</f>
        <v>0.79749533894780134</v>
      </c>
      <c r="Y68" s="154">
        <f>AVERAGE(X68,V68,U68,T68)</f>
        <v>0.79602931510902875</v>
      </c>
      <c r="Z68" s="154">
        <f>AVERAGE(Y68,X68,V68,U68)</f>
        <v>0.79565110728569977</v>
      </c>
      <c r="AA68" s="154">
        <f>AVERAGE(Z68,Y68,X68,V68)</f>
        <v>0.79521780906605322</v>
      </c>
      <c r="AB68" s="113"/>
      <c r="AC68" s="154">
        <f>AVERAGE(AA68,Z68,Y68,X68)</f>
        <v>0.79609839260214577</v>
      </c>
      <c r="AD68" s="154">
        <f>AVERAGE(AC68,AA68,Z68,Y68)</f>
        <v>0.79574915601573193</v>
      </c>
      <c r="AE68" s="154">
        <f>AVERAGE(AD68,AC68,AA68,Z68)</f>
        <v>0.79567911624240772</v>
      </c>
      <c r="AF68" s="154">
        <f>AVERAGE(AE68,AD68,AC68,AA68)</f>
        <v>0.79568611848158466</v>
      </c>
      <c r="AG68" s="113"/>
      <c r="AH68" s="154">
        <f>AVERAGE(AF68,AE68,AD68,AC68)</f>
        <v>0.79580319583546755</v>
      </c>
      <c r="AI68" s="154">
        <f>AVERAGE(AH68,AF68,AE68,AD68)</f>
        <v>0.79572939664379794</v>
      </c>
      <c r="AJ68" s="154">
        <f>AVERAGE(AI68,AH68,AF68,AE68)</f>
        <v>0.79572445680081438</v>
      </c>
      <c r="AK68" s="154">
        <f>AVERAGE(AJ68,AI68,AH68,AF68)</f>
        <v>0.79573579194041621</v>
      </c>
      <c r="AL68" s="113"/>
      <c r="AM68" s="154">
        <f>AVERAGE(AK68,AJ68,AI68,AH68)</f>
        <v>0.79574821030512399</v>
      </c>
      <c r="AN68" s="154">
        <f>AVERAGE(AM68,AK68,AJ68,AI68)</f>
        <v>0.7957344639225381</v>
      </c>
      <c r="AO68" s="154">
        <f>AVERAGE(AN68,AM68,AK68,AJ68)</f>
        <v>0.79573573074222315</v>
      </c>
      <c r="AP68" s="154">
        <f>AVERAGE(AO68,AN68,AM68,AK68)</f>
        <v>0.79573854922757548</v>
      </c>
      <c r="AQ68" s="113"/>
    </row>
    <row r="69" spans="2:43" outlineLevel="1" x14ac:dyDescent="0.25">
      <c r="B69" s="112" t="s">
        <v>230</v>
      </c>
      <c r="C69" s="111"/>
      <c r="D69" s="126">
        <f>+D53+D56+D57-D65-D66-D67</f>
        <v>533.27975399999923</v>
      </c>
      <c r="E69" s="126">
        <f>+E53+E56+E57-E65-E66-E67</f>
        <v>611.10798780000096</v>
      </c>
      <c r="F69" s="126">
        <f>+F53+F56+F57-F65-F66-F67</f>
        <v>587.98241240000061</v>
      </c>
      <c r="G69" s="126">
        <f>+G53+G56+G57-G65-G66-G67</f>
        <v>752.9747483526935</v>
      </c>
      <c r="H69" s="113"/>
      <c r="I69" s="126">
        <f>+I53+I56+I57-I65-I66-I67</f>
        <v>607.3246790000012</v>
      </c>
      <c r="J69" s="126">
        <f>+J53+J56+J57-J65-J66-J67</f>
        <v>709.77593954920667</v>
      </c>
      <c r="K69" s="126">
        <f>+K53+K56+K57-K65-K66-K67</f>
        <v>563.51909599999999</v>
      </c>
      <c r="L69" s="126">
        <f>+L53+L56+L57-L65-L66-L67</f>
        <v>887.50444692737437</v>
      </c>
      <c r="M69" s="168">
        <f>+SUM(I69:L69)</f>
        <v>2768.1241614765822</v>
      </c>
      <c r="N69" s="126">
        <f>+N53+N56+N57-N65-N66-N67</f>
        <v>438.38696750000054</v>
      </c>
      <c r="O69" s="126">
        <f>+O53+O56+O57-O65-O66-O67</f>
        <v>718.72064900000078</v>
      </c>
      <c r="P69" s="126">
        <f>+P53+P56+P57-P65-P66-P67</f>
        <v>431.45103159999962</v>
      </c>
      <c r="Q69" s="126">
        <f>+Q53+Q56+Q57-Q65-Q66-Q67</f>
        <v>989.96774399999958</v>
      </c>
      <c r="R69" s="168">
        <f>+SUM(N69:Q69)</f>
        <v>2578.5263921000005</v>
      </c>
      <c r="S69" s="126">
        <f>+S53+S56+S57-S65-S66-S67</f>
        <v>1046.1046384769606</v>
      </c>
      <c r="T69" s="126" t="e">
        <f>+T53+T56+T57-T65-T66-T67</f>
        <v>#DIV/0!</v>
      </c>
      <c r="U69" s="126" t="e">
        <f>+U53+U56+U57-U65-U66-U67</f>
        <v>#DIV/0!</v>
      </c>
      <c r="V69" s="126" t="e">
        <f>+V53+V56+V57-V65-V66-V67</f>
        <v>#DIV/0!</v>
      </c>
      <c r="W69" s="168" t="e">
        <f>+SUM(S69:V69)</f>
        <v>#DIV/0!</v>
      </c>
      <c r="X69" s="126" t="e">
        <f>+X53+X56+X57-X65-X66-X67</f>
        <v>#DIV/0!</v>
      </c>
      <c r="Y69" s="126" t="e">
        <f>+Y53+Y56+Y57-Y65-Y66-Y67</f>
        <v>#DIV/0!</v>
      </c>
      <c r="Z69" s="126" t="e">
        <f>+Z53+Z56+Z57-Z65-Z66-Z67</f>
        <v>#DIV/0!</v>
      </c>
      <c r="AA69" s="126" t="e">
        <f>+AA53+AA56+AA57-AA65-AA66-AA67</f>
        <v>#DIV/0!</v>
      </c>
      <c r="AB69" s="168" t="e">
        <f>+SUM(X69:AA69)</f>
        <v>#DIV/0!</v>
      </c>
      <c r="AC69" s="126" t="e">
        <f>+AC53+AC56+AC57-AC65-AC66-AC67</f>
        <v>#DIV/0!</v>
      </c>
      <c r="AD69" s="126" t="e">
        <f>+AD53+AD56+AD57-AD65-AD66-AD67</f>
        <v>#DIV/0!</v>
      </c>
      <c r="AE69" s="126" t="e">
        <f>+AE53+AE56+AE57-AE65-AE66-AE67</f>
        <v>#DIV/0!</v>
      </c>
      <c r="AF69" s="126" t="e">
        <f>+AF53+AF56+AF57-AF65-AF66-AF67</f>
        <v>#DIV/0!</v>
      </c>
      <c r="AG69" s="113"/>
      <c r="AH69" s="126" t="e">
        <f>+AH53+AH56+AH57-AH65-AH66-AH67</f>
        <v>#DIV/0!</v>
      </c>
      <c r="AI69" s="126" t="e">
        <f>+AI53+AI56+AI57-AI65-AI66-AI67</f>
        <v>#DIV/0!</v>
      </c>
      <c r="AJ69" s="126" t="e">
        <f>+AJ53+AJ56+AJ57-AJ65-AJ66-AJ67</f>
        <v>#DIV/0!</v>
      </c>
      <c r="AK69" s="126" t="e">
        <f>+AK53+AK56+AK57-AK65-AK66-AK67</f>
        <v>#DIV/0!</v>
      </c>
      <c r="AL69" s="113"/>
      <c r="AM69" s="126" t="e">
        <f>+AM53+AM56+AM57-AM65-AM66-AM67</f>
        <v>#DIV/0!</v>
      </c>
      <c r="AN69" s="126" t="e">
        <f>+AN53+AN56+AN57-AN65-AN66-AN67</f>
        <v>#DIV/0!</v>
      </c>
      <c r="AO69" s="126" t="e">
        <f>+AO53+AO56+AO57-AO65-AO66-AO67</f>
        <v>#DIV/0!</v>
      </c>
      <c r="AP69" s="126" t="e">
        <f>+AP53+AP56+AP57-AP65-AP66-AP67</f>
        <v>#DIV/0!</v>
      </c>
      <c r="AQ69" s="113"/>
    </row>
    <row r="70" spans="2:43" ht="15.75" outlineLevel="1" thickBot="1" x14ac:dyDescent="0.3">
      <c r="B70" s="158" t="s">
        <v>222</v>
      </c>
      <c r="C70" s="159"/>
      <c r="D70" s="160">
        <f>+D69/(D53+D56+D57)</f>
        <v>8.4003820667163262E-2</v>
      </c>
      <c r="E70" s="160">
        <f>+E69/(E53+E56+E57)</f>
        <v>9.6539899315744318E-2</v>
      </c>
      <c r="F70" s="160">
        <f>+F69/(F53+F56+F57)</f>
        <v>9.255218639553503E-2</v>
      </c>
      <c r="G70" s="160">
        <f>+G69/(G53+G56+G57)</f>
        <v>0.11545195702312068</v>
      </c>
      <c r="H70" s="115"/>
      <c r="I70" s="160">
        <f>+I69/(I53+I56+I57)</f>
        <v>7.3621139018330201E-2</v>
      </c>
      <c r="J70" s="160">
        <f>+J69/(J53+J56+J57)</f>
        <v>8.4600106685011639E-2</v>
      </c>
      <c r="K70" s="160">
        <f>+K69/(K53+K56+K57)</f>
        <v>6.7386285105112062E-2</v>
      </c>
      <c r="L70" s="160">
        <f>+L69/(L53+L56+L57)</f>
        <v>0.10060692620707137</v>
      </c>
      <c r="M70" s="115"/>
      <c r="N70" s="160">
        <f>+N69/(N53+N56+N57)</f>
        <v>5.2186520596737083E-2</v>
      </c>
      <c r="O70" s="160">
        <f>+O69/(O53+O56+O57)</f>
        <v>7.9191579026751141E-2</v>
      </c>
      <c r="P70" s="160">
        <f>+P69/(P53+P56+P57)</f>
        <v>4.7420272978501397E-2</v>
      </c>
      <c r="Q70" s="160">
        <f>+Q69/(Q53+Q56+Q57)</f>
        <v>0.10314347478598899</v>
      </c>
      <c r="R70" s="115"/>
      <c r="S70" s="160">
        <f>+S69/(S53+S56+S57)</f>
        <v>0.11636697382966386</v>
      </c>
      <c r="T70" s="160" t="e">
        <f>+T69/(T53+T56+T57)</f>
        <v>#DIV/0!</v>
      </c>
      <c r="U70" s="160" t="e">
        <f>+U69/(U53+U56+U57)</f>
        <v>#DIV/0!</v>
      </c>
      <c r="V70" s="160" t="e">
        <f>+V69/(V53+V56+V57)</f>
        <v>#DIV/0!</v>
      </c>
      <c r="W70" s="423" t="e">
        <f>+W69-M69</f>
        <v>#DIV/0!</v>
      </c>
      <c r="X70" s="160" t="e">
        <f>+X69/(X53+X56+X57)</f>
        <v>#DIV/0!</v>
      </c>
      <c r="Y70" s="160" t="e">
        <f>+Y69/(Y53+Y56+Y57)</f>
        <v>#DIV/0!</v>
      </c>
      <c r="Z70" s="160" t="e">
        <f>+Z69/(Z53+Z56+Z57)</f>
        <v>#DIV/0!</v>
      </c>
      <c r="AA70" s="160" t="e">
        <f>+AA69/(AA53+AA56+AA57)</f>
        <v>#DIV/0!</v>
      </c>
      <c r="AB70" s="423" t="e">
        <f>+AB69-M69</f>
        <v>#DIV/0!</v>
      </c>
      <c r="AC70" s="160" t="e">
        <f>+AC69/(AC53+AC56+AC57)</f>
        <v>#DIV/0!</v>
      </c>
      <c r="AD70" s="160" t="e">
        <f>+AD69/(AD53+AD56+AD57)</f>
        <v>#DIV/0!</v>
      </c>
      <c r="AE70" s="160" t="e">
        <f>+AE69/(AE53+AE56+AE57)</f>
        <v>#DIV/0!</v>
      </c>
      <c r="AF70" s="160" t="e">
        <f>+AF69/(AF53+AF56+AF57)</f>
        <v>#DIV/0!</v>
      </c>
      <c r="AG70" s="115"/>
      <c r="AH70" s="160" t="e">
        <f>+AH69/(AH53+AH56+AH57)</f>
        <v>#DIV/0!</v>
      </c>
      <c r="AI70" s="160" t="e">
        <f>+AI69/(AI53+AI56+AI57)</f>
        <v>#DIV/0!</v>
      </c>
      <c r="AJ70" s="160" t="e">
        <f>+AJ69/(AJ53+AJ56+AJ57)</f>
        <v>#DIV/0!</v>
      </c>
      <c r="AK70" s="160" t="e">
        <f>+AK69/(AK53+AK56+AK57)</f>
        <v>#DIV/0!</v>
      </c>
      <c r="AL70" s="115"/>
      <c r="AM70" s="160" t="e">
        <f>+AM69/(AM53+AM56+AM57)</f>
        <v>#DIV/0!</v>
      </c>
      <c r="AN70" s="160" t="e">
        <f>+AN69/(AN53+AN56+AN57)</f>
        <v>#DIV/0!</v>
      </c>
      <c r="AO70" s="160" t="e">
        <f>+AO69/(AO53+AO56+AO57)</f>
        <v>#DIV/0!</v>
      </c>
      <c r="AP70" s="160" t="e">
        <f>+AP69/(AP53+AP56+AP57)</f>
        <v>#DIV/0!</v>
      </c>
      <c r="AQ70" s="115"/>
    </row>
    <row r="71" spans="2:43" ht="15.75" x14ac:dyDescent="0.25">
      <c r="B71" s="532" t="s">
        <v>168</v>
      </c>
      <c r="C71" s="540"/>
      <c r="D71" s="67" t="s">
        <v>52</v>
      </c>
      <c r="E71" s="67" t="s">
        <v>55</v>
      </c>
      <c r="F71" s="67" t="s">
        <v>56</v>
      </c>
      <c r="G71" s="67" t="s">
        <v>60</v>
      </c>
      <c r="H71" s="403"/>
      <c r="I71" s="67" t="s">
        <v>62</v>
      </c>
      <c r="J71" s="67" t="s">
        <v>73</v>
      </c>
      <c r="K71" s="67" t="s">
        <v>77</v>
      </c>
      <c r="L71" s="67" t="s">
        <v>81</v>
      </c>
      <c r="M71" s="403"/>
      <c r="N71" s="67" t="s">
        <v>83</v>
      </c>
      <c r="O71" s="67" t="s">
        <v>84</v>
      </c>
      <c r="P71" s="67" t="s">
        <v>85</v>
      </c>
      <c r="Q71" s="67" t="s">
        <v>86</v>
      </c>
      <c r="R71" s="403"/>
      <c r="S71" s="69" t="s">
        <v>344</v>
      </c>
      <c r="T71" s="69" t="s">
        <v>345</v>
      </c>
      <c r="U71" s="69" t="s">
        <v>346</v>
      </c>
      <c r="V71" s="69" t="s">
        <v>347</v>
      </c>
      <c r="W71" s="407"/>
      <c r="X71" s="69" t="s">
        <v>349</v>
      </c>
      <c r="Y71" s="69" t="s">
        <v>350</v>
      </c>
      <c r="Z71" s="69" t="s">
        <v>351</v>
      </c>
      <c r="AA71" s="69" t="s">
        <v>352</v>
      </c>
      <c r="AB71" s="407"/>
      <c r="AC71" s="69" t="s">
        <v>354</v>
      </c>
      <c r="AD71" s="69" t="s">
        <v>355</v>
      </c>
      <c r="AE71" s="69" t="s">
        <v>356</v>
      </c>
      <c r="AF71" s="69" t="s">
        <v>357</v>
      </c>
      <c r="AG71" s="407"/>
      <c r="AH71" s="69" t="s">
        <v>359</v>
      </c>
      <c r="AI71" s="69" t="s">
        <v>360</v>
      </c>
      <c r="AJ71" s="69" t="s">
        <v>361</v>
      </c>
      <c r="AK71" s="69" t="s">
        <v>362</v>
      </c>
      <c r="AL71" s="407"/>
      <c r="AM71" s="69" t="s">
        <v>364</v>
      </c>
      <c r="AN71" s="69" t="s">
        <v>365</v>
      </c>
      <c r="AO71" s="69" t="s">
        <v>366</v>
      </c>
      <c r="AP71" s="69" t="s">
        <v>367</v>
      </c>
      <c r="AQ71" s="407"/>
    </row>
    <row r="72" spans="2:43" ht="17.25" outlineLevel="1" x14ac:dyDescent="0.4">
      <c r="B72" s="536" t="s">
        <v>136</v>
      </c>
      <c r="C72" s="537"/>
      <c r="D72" s="243">
        <f>+ROUND((1658-D77),0)</f>
        <v>0</v>
      </c>
      <c r="E72" s="243">
        <f>ROUND((1682-E77),0)</f>
        <v>0</v>
      </c>
      <c r="F72" s="243">
        <f>ROUND((1704-F77),0)</f>
        <v>0</v>
      </c>
      <c r="G72" s="243">
        <f>ROUND((1719-G77),0)</f>
        <v>0</v>
      </c>
      <c r="H72" s="244"/>
      <c r="I72" s="243">
        <f>ROUND((1722-I77),0)</f>
        <v>0</v>
      </c>
      <c r="J72" s="243">
        <f>ROUND((1709-J77),0)</f>
        <v>0</v>
      </c>
      <c r="K72" s="243">
        <f>ROUND((1742-K77),0)</f>
        <v>0</v>
      </c>
      <c r="L72" s="243">
        <f>ROUND((1782-L77),0)</f>
        <v>0</v>
      </c>
      <c r="M72" s="25"/>
      <c r="N72" s="243">
        <f>ROUND((1750-N77),0)</f>
        <v>0</v>
      </c>
      <c r="O72" s="243">
        <f>ROUND((1787-O77),0)</f>
        <v>0</v>
      </c>
      <c r="P72" s="243">
        <f>ROUND((1836-P77),0)</f>
        <v>0</v>
      </c>
      <c r="Q72" s="243"/>
      <c r="R72" s="52"/>
      <c r="S72" s="24"/>
      <c r="T72" s="24"/>
      <c r="U72" s="24"/>
      <c r="V72" s="24"/>
      <c r="W72" s="52"/>
      <c r="X72" s="24"/>
      <c r="Y72" s="24"/>
      <c r="Z72" s="24"/>
      <c r="AA72" s="24"/>
      <c r="AB72" s="52"/>
      <c r="AC72" s="24"/>
      <c r="AD72" s="24"/>
      <c r="AE72" s="24"/>
      <c r="AF72" s="24"/>
      <c r="AG72" s="52"/>
      <c r="AH72" s="24"/>
      <c r="AI72" s="24"/>
      <c r="AJ72" s="24"/>
      <c r="AK72" s="24"/>
      <c r="AL72" s="52"/>
      <c r="AM72" s="24"/>
      <c r="AN72" s="24"/>
      <c r="AO72" s="24"/>
      <c r="AP72" s="24"/>
      <c r="AQ72" s="52"/>
    </row>
    <row r="73" spans="2:43" outlineLevel="2" x14ac:dyDescent="0.25">
      <c r="B73" s="100" t="s">
        <v>329</v>
      </c>
      <c r="C73" s="288"/>
      <c r="D73" s="241">
        <v>1210</v>
      </c>
      <c r="E73" s="241">
        <v>1290</v>
      </c>
      <c r="F73" s="241">
        <v>1315.5</v>
      </c>
      <c r="G73" s="241">
        <v>1269.5039999999999</v>
      </c>
      <c r="H73" s="31"/>
      <c r="I73" s="241">
        <v>1255</v>
      </c>
      <c r="J73" s="241">
        <v>1282.604</v>
      </c>
      <c r="K73" s="241">
        <v>1322.4</v>
      </c>
      <c r="L73" s="241">
        <v>1201.7</v>
      </c>
      <c r="M73" s="31"/>
      <c r="N73" s="241">
        <v>1188.2</v>
      </c>
      <c r="O73" s="241">
        <v>1248</v>
      </c>
      <c r="P73" s="241">
        <v>1314.5</v>
      </c>
      <c r="Q73" s="241">
        <v>1257.2</v>
      </c>
      <c r="R73" s="27"/>
      <c r="S73" s="101">
        <f>+N73*(1+S74)</f>
        <v>1176.3191896642579</v>
      </c>
      <c r="T73" s="101">
        <f>+O73*(1+T74)</f>
        <v>1249.0084145120809</v>
      </c>
      <c r="U73" s="101">
        <f>+P73*(1+U74)</f>
        <v>1324.6938196145254</v>
      </c>
      <c r="V73" s="101">
        <f>+Q73*(1+V74)</f>
        <v>1271.2644536283703</v>
      </c>
      <c r="W73" s="27"/>
      <c r="X73" s="101">
        <f>+S73*(1+X74)</f>
        <v>1179.1867774889415</v>
      </c>
      <c r="Y73" s="101">
        <f>+T73*(1+Y74)</f>
        <v>1255.9366066039086</v>
      </c>
      <c r="Z73" s="101">
        <f>+U73*(1+Z74)</f>
        <v>1333.611242796901</v>
      </c>
      <c r="AA73" s="101">
        <f>+V73*(1+AA74)</f>
        <v>1279.4970124056385</v>
      </c>
      <c r="AB73" s="27"/>
      <c r="AC73" s="101">
        <f>+X73*(1+AC74)</f>
        <v>1185.4341932490001</v>
      </c>
      <c r="AD73" s="101">
        <f>+Y73*(1+AD74)</f>
        <v>1263.4887398370581</v>
      </c>
      <c r="AE73" s="101">
        <f>+Z73*(1+AE74)</f>
        <v>1341.7858757141394</v>
      </c>
      <c r="AF73" s="101">
        <f>+AA73*(1+AF74)</f>
        <v>1287.1473806392746</v>
      </c>
      <c r="AG73" s="27"/>
      <c r="AH73" s="101">
        <f>+AC73*(1+AH74)</f>
        <v>1192.3749450268704</v>
      </c>
      <c r="AI73" s="101">
        <f>+AD73*(1+AI74)</f>
        <v>1271.0624307238031</v>
      </c>
      <c r="AJ73" s="101">
        <f>+AE73*(1+AJ74)</f>
        <v>1349.8225674942305</v>
      </c>
      <c r="AK73" s="101">
        <f>+AF73*(1+AK74)</f>
        <v>1294.8117145794242</v>
      </c>
      <c r="AL73" s="27"/>
      <c r="AM73" s="101">
        <f>+AH73*(1+AM74)</f>
        <v>1199.4675960021211</v>
      </c>
      <c r="AN73" s="101">
        <f>+AI73*(1+AN74)</f>
        <v>1278.6527923898116</v>
      </c>
      <c r="AO73" s="101">
        <f>+AJ73*(1+AO74)</f>
        <v>1357.8756314612003</v>
      </c>
      <c r="AP73" s="101">
        <f>+AK73*(1+AP74)</f>
        <v>1302.528965515648</v>
      </c>
      <c r="AQ73" s="27"/>
    </row>
    <row r="74" spans="2:43" outlineLevel="2" x14ac:dyDescent="0.25">
      <c r="B74" s="118" t="s">
        <v>172</v>
      </c>
      <c r="C74" s="288"/>
      <c r="D74" s="143">
        <f>+D73/1211-1</f>
        <v>-8.2576383154420174E-4</v>
      </c>
      <c r="E74" s="143">
        <f>+E73/1259-1</f>
        <v>2.4622716441620396E-2</v>
      </c>
      <c r="F74" s="143">
        <f>+F73/1258-1</f>
        <v>4.5707472178060371E-2</v>
      </c>
      <c r="G74" s="143">
        <f>+G73/1231-1</f>
        <v>3.1278635255889364E-2</v>
      </c>
      <c r="H74" s="61"/>
      <c r="I74" s="143">
        <f>+I73/D73-1</f>
        <v>3.7190082644628086E-2</v>
      </c>
      <c r="J74" s="143">
        <f>+J73/E73-1</f>
        <v>-5.733333333333257E-3</v>
      </c>
      <c r="K74" s="143">
        <f>+K73/F73-1</f>
        <v>5.2451539338655984E-3</v>
      </c>
      <c r="L74" s="143">
        <f>+L73/G73-1</f>
        <v>-5.3409835652349136E-2</v>
      </c>
      <c r="M74" s="61"/>
      <c r="N74" s="143">
        <f>+N73/I73-1</f>
        <v>-5.3227091633466062E-2</v>
      </c>
      <c r="O74" s="143">
        <f>+O73/J73-1</f>
        <v>-2.697948860287358E-2</v>
      </c>
      <c r="P74" s="143">
        <f>+P73/K73-1</f>
        <v>-5.9739866908651296E-3</v>
      </c>
      <c r="Q74" s="143">
        <f>+Q73/L73-1</f>
        <v>4.6184571856536571E-2</v>
      </c>
      <c r="R74" s="53"/>
      <c r="S74" s="154">
        <f>AVERAGE(Q74,P74,O74,N74)</f>
        <v>-9.99899876766705E-3</v>
      </c>
      <c r="T74" s="154">
        <f>AVERAGE(S74,Q74,P74,O74)</f>
        <v>8.0802444878270291E-4</v>
      </c>
      <c r="U74" s="154">
        <f>AVERAGE(T74,S74,Q74,P74)</f>
        <v>7.7549027116967737E-3</v>
      </c>
      <c r="V74" s="154">
        <f>AVERAGE(U74,T74,S74,Q74)</f>
        <v>1.1187125062337249E-2</v>
      </c>
      <c r="W74" s="34"/>
      <c r="X74" s="154">
        <f>AVERAGE(V74,U74,T74,S74)</f>
        <v>2.4377633637874194E-3</v>
      </c>
      <c r="Y74" s="154">
        <f>AVERAGE(X74,V74,U74,T74)</f>
        <v>5.5469538966510367E-3</v>
      </c>
      <c r="Z74" s="154">
        <f>AVERAGE(Y74,X74,V74,U74)</f>
        <v>6.7316862586181189E-3</v>
      </c>
      <c r="AA74" s="154">
        <f>AVERAGE(Z74,Y74,X74,V74)</f>
        <v>6.475882145348456E-3</v>
      </c>
      <c r="AB74" s="34"/>
      <c r="AC74" s="154">
        <f>AVERAGE(AA74,Z74,Y74,X74)</f>
        <v>5.2980714161012573E-3</v>
      </c>
      <c r="AD74" s="154">
        <f>AVERAGE(AC74,AA74,Z74,Y74)</f>
        <v>6.0131484291797172E-3</v>
      </c>
      <c r="AE74" s="154">
        <f>AVERAGE(AD74,AC74,AA74,Z74)</f>
        <v>6.1296970623118882E-3</v>
      </c>
      <c r="AF74" s="154">
        <f>AVERAGE(AE74,AD74,AC74,AA74)</f>
        <v>5.9791997632353301E-3</v>
      </c>
      <c r="AG74" s="34"/>
      <c r="AH74" s="154">
        <f>AVERAGE(AF74,AE74,AD74,AC74)</f>
        <v>5.8550291677070491E-3</v>
      </c>
      <c r="AI74" s="154">
        <f>AVERAGE(AH74,AF74,AE74,AD74)</f>
        <v>5.9942686056084962E-3</v>
      </c>
      <c r="AJ74" s="154">
        <f>AVERAGE(AI74,AH74,AF74,AE74)</f>
        <v>5.9895486497156909E-3</v>
      </c>
      <c r="AK74" s="154">
        <f>AVERAGE(AJ74,AI74,AH74,AF74)</f>
        <v>5.9545115465666409E-3</v>
      </c>
      <c r="AL74" s="34"/>
      <c r="AM74" s="154">
        <f>AVERAGE(AK74,AJ74,AI74,AH74)</f>
        <v>5.9483394923994688E-3</v>
      </c>
      <c r="AN74" s="154">
        <f>AVERAGE(AM74,AK74,AJ74,AI74)</f>
        <v>5.9716670735725751E-3</v>
      </c>
      <c r="AO74" s="154">
        <f>AVERAGE(AN74,AM74,AK74,AJ74)</f>
        <v>5.9660166905635944E-3</v>
      </c>
      <c r="AP74" s="154">
        <f>AVERAGE(AO74,AN74,AM74,AK74)</f>
        <v>5.9601337007755698E-3</v>
      </c>
      <c r="AQ74" s="34"/>
    </row>
    <row r="75" spans="2:43" outlineLevel="2" x14ac:dyDescent="0.25">
      <c r="B75" s="100" t="s">
        <v>141</v>
      </c>
      <c r="C75" s="288"/>
      <c r="D75" s="120">
        <v>21.074999999999999</v>
      </c>
      <c r="E75" s="120">
        <v>20.7</v>
      </c>
      <c r="F75" s="120">
        <v>20.56</v>
      </c>
      <c r="G75" s="120">
        <v>20.834</v>
      </c>
      <c r="H75" s="31"/>
      <c r="I75" s="120">
        <v>21.11</v>
      </c>
      <c r="J75" s="120">
        <v>21.155999999999999</v>
      </c>
      <c r="K75" s="120">
        <v>21.244</v>
      </c>
      <c r="L75" s="120">
        <v>22.814</v>
      </c>
      <c r="M75" s="31"/>
      <c r="N75" s="120">
        <v>22.664999999999999</v>
      </c>
      <c r="O75" s="120">
        <v>22.73</v>
      </c>
      <c r="P75" s="120">
        <v>22.53</v>
      </c>
      <c r="Q75" s="120">
        <v>23.263000000000002</v>
      </c>
      <c r="R75" s="419"/>
      <c r="S75" s="120">
        <f>+N75*(1+S76)</f>
        <v>23.958475152282873</v>
      </c>
      <c r="T75" s="120">
        <f>+O75*(1+T76)</f>
        <v>23.932897801543451</v>
      </c>
      <c r="U75" s="120">
        <f>+P75*(1+U76)</f>
        <v>23.601335667660702</v>
      </c>
      <c r="V75" s="120">
        <f>+Q75*(1+V76)</f>
        <v>24.293683751984702</v>
      </c>
      <c r="W75" s="27"/>
      <c r="X75" s="120">
        <f>+S75*(1+X76)</f>
        <v>25.167465668935769</v>
      </c>
      <c r="Y75" s="120">
        <f>+T75*(1+Y76)</f>
        <v>25.10106430413364</v>
      </c>
      <c r="Z75" s="120">
        <f>+U75*(1+Z76)</f>
        <v>24.729061858338362</v>
      </c>
      <c r="AA75" s="120">
        <f>+V75*(1+AA76)</f>
        <v>25.455893597255731</v>
      </c>
      <c r="AB75" s="27"/>
      <c r="AC75" s="120">
        <f>+X75*(1+AC76)</f>
        <v>26.393714520494626</v>
      </c>
      <c r="AD75" s="120">
        <f>+Y75*(1+AD76)</f>
        <v>26.31316929080819</v>
      </c>
      <c r="AE75" s="120">
        <f>+Z75*(1+AE76)</f>
        <v>25.919981732551634</v>
      </c>
      <c r="AF75" s="120">
        <f>+AA75*(1+AF76)</f>
        <v>26.684212234140315</v>
      </c>
      <c r="AG75" s="27"/>
      <c r="AH75" s="120">
        <f>+AC75*(1+AH76)</f>
        <v>27.670009616546125</v>
      </c>
      <c r="AI75" s="120">
        <f>+AD75*(1+AI76)</f>
        <v>27.583151695622274</v>
      </c>
      <c r="AJ75" s="120">
        <f>+AE75*(1+AJ76)</f>
        <v>27.1708262458117</v>
      </c>
      <c r="AK75" s="120">
        <f>+AF75*(1+AK76)</f>
        <v>27.97259874610225</v>
      </c>
      <c r="AL75" s="27"/>
      <c r="AM75" s="120">
        <f>+AH75*(1+AM76)</f>
        <v>29.006199993488522</v>
      </c>
      <c r="AN75" s="120">
        <f>+AI75*(1+AN76)</f>
        <v>28.914693796329555</v>
      </c>
      <c r="AO75" s="120">
        <f>+AJ75*(1+AO76)</f>
        <v>28.482529133996504</v>
      </c>
      <c r="AP75" s="120">
        <f>+AK75*(1+AP76)</f>
        <v>29.323135581000763</v>
      </c>
      <c r="AQ75" s="27"/>
    </row>
    <row r="76" spans="2:43" outlineLevel="2" x14ac:dyDescent="0.25">
      <c r="B76" s="118" t="s">
        <v>171</v>
      </c>
      <c r="C76" s="293"/>
      <c r="D76" s="143">
        <f>+D75/21.69-1</f>
        <v>-2.835408022130026E-2</v>
      </c>
      <c r="E76" s="143">
        <f>+E75/21.5-1</f>
        <v>-3.7209302325581395E-2</v>
      </c>
      <c r="F76" s="143">
        <f>+F75/20.85-1</f>
        <v>-1.3908872901678748E-2</v>
      </c>
      <c r="G76" s="143">
        <f>+G75/21.12-1</f>
        <v>-1.3541666666666785E-2</v>
      </c>
      <c r="H76" s="61"/>
      <c r="I76" s="143">
        <f>+I75/D75-1</f>
        <v>1.6607354685647113E-3</v>
      </c>
      <c r="J76" s="143">
        <f>+J75/E75-1</f>
        <v>2.2028985507246412E-2</v>
      </c>
      <c r="K76" s="143">
        <f>+K75/F75-1</f>
        <v>3.3268482490272477E-2</v>
      </c>
      <c r="L76" s="143">
        <f>+L75/G75-1</f>
        <v>9.5036958817317885E-2</v>
      </c>
      <c r="M76" s="61"/>
      <c r="N76" s="143">
        <f>+N75/I75-1</f>
        <v>7.3661771672193233E-2</v>
      </c>
      <c r="O76" s="143">
        <f>+O75/J75-1</f>
        <v>7.4399697485347138E-2</v>
      </c>
      <c r="P76" s="143">
        <f>+P75/K75-1</f>
        <v>6.05347392204858E-2</v>
      </c>
      <c r="Q76" s="143">
        <f>+Q75/L75-1</f>
        <v>1.9680897694398292E-2</v>
      </c>
      <c r="R76" s="34"/>
      <c r="S76" s="154">
        <f>AVERAGE(Q76,P76,O76,N76)</f>
        <v>5.7069276518106116E-2</v>
      </c>
      <c r="T76" s="154">
        <f>AVERAGE(S76,Q76,P76,O76)</f>
        <v>5.2921152729584336E-2</v>
      </c>
      <c r="U76" s="154">
        <f>AVERAGE(T76,S76,Q76,P76)</f>
        <v>4.7551516540643636E-2</v>
      </c>
      <c r="V76" s="154">
        <f>AVERAGE(U76,T76,S76,Q76)</f>
        <v>4.4305710870683093E-2</v>
      </c>
      <c r="W76" s="34"/>
      <c r="X76" s="154">
        <f>AVERAGE(V76,U76,T76,S76)</f>
        <v>5.0461914164754297E-2</v>
      </c>
      <c r="Y76" s="154">
        <f>AVERAGE(X76,V76,U76,T76)</f>
        <v>4.8810073576416341E-2</v>
      </c>
      <c r="Z76" s="154">
        <f>AVERAGE(Y76,X76,V76,U76)</f>
        <v>4.7782303788124335E-2</v>
      </c>
      <c r="AA76" s="154">
        <f>AVERAGE(Z76,Y76,X76,V76)</f>
        <v>4.784000059999452E-2</v>
      </c>
      <c r="AB76" s="34"/>
      <c r="AC76" s="154">
        <f>AVERAGE(AA76,Z76,Y76,X76)</f>
        <v>4.8723573032322373E-2</v>
      </c>
      <c r="AD76" s="154">
        <f>AVERAGE(AC76,AA76,Z76,Y76)</f>
        <v>4.828898774921439E-2</v>
      </c>
      <c r="AE76" s="154">
        <f>AVERAGE(AD76,AC76,AA76,Z76)</f>
        <v>4.815871629241391E-2</v>
      </c>
      <c r="AF76" s="154">
        <f>AVERAGE(AE76,AD76,AC76,AA76)</f>
        <v>4.8252819418486297E-2</v>
      </c>
      <c r="AG76" s="34"/>
      <c r="AH76" s="154">
        <f>AVERAGE(AF76,AE76,AD76,AC76)</f>
        <v>4.8356024123109242E-2</v>
      </c>
      <c r="AI76" s="154">
        <f>AVERAGE(AH76,AF76,AE76,AD76)</f>
        <v>4.8264136895805963E-2</v>
      </c>
      <c r="AJ76" s="154">
        <f>AVERAGE(AI76,AH76,AF76,AE76)</f>
        <v>4.8257924182453858E-2</v>
      </c>
      <c r="AK76" s="154">
        <f>AVERAGE(AJ76,AI76,AH76,AF76)</f>
        <v>4.8282726154963845E-2</v>
      </c>
      <c r="AL76" s="34"/>
      <c r="AM76" s="154">
        <f>AVERAGE(AK76,AJ76,AI76,AH76)</f>
        <v>4.8290202839083231E-2</v>
      </c>
      <c r="AN76" s="154">
        <f>AVERAGE(AM76,AK76,AJ76,AI76)</f>
        <v>4.8273747518076726E-2</v>
      </c>
      <c r="AO76" s="154">
        <f>AVERAGE(AN76,AM76,AK76,AJ76)</f>
        <v>4.8276150173644415E-2</v>
      </c>
      <c r="AP76" s="154">
        <f>AVERAGE(AO76,AN76,AM76,AK76)</f>
        <v>4.8280706671442054E-2</v>
      </c>
      <c r="AQ76" s="34"/>
    </row>
    <row r="77" spans="2:43" s="32" customFormat="1" outlineLevel="2" x14ac:dyDescent="0.25">
      <c r="B77" s="96" t="s">
        <v>135</v>
      </c>
      <c r="C77" s="144"/>
      <c r="D77" s="121">
        <f>+D73*D75*D59/1000</f>
        <v>1657.5487499999999</v>
      </c>
      <c r="E77" s="121">
        <f>+E73*E75*E59/1000</f>
        <v>1682.289</v>
      </c>
      <c r="F77" s="121">
        <f>+F73*F75*F59/1000</f>
        <v>1703.9408399999998</v>
      </c>
      <c r="G77" s="121">
        <f>+G73*G75*G59/1000</f>
        <v>1719.1750118399998</v>
      </c>
      <c r="H77" s="99"/>
      <c r="I77" s="121">
        <f>+I73*I75*I59/1000</f>
        <v>1722.0482500000001</v>
      </c>
      <c r="J77" s="121">
        <f>+J73*J75*J59/1000</f>
        <v>1709.490524112</v>
      </c>
      <c r="K77" s="121">
        <f>+K73*K75*K59/1000</f>
        <v>1741.7700672000001</v>
      </c>
      <c r="L77" s="121">
        <f>+L73*L75*L59/1000</f>
        <v>1782.0129469999999</v>
      </c>
      <c r="M77" s="99"/>
      <c r="N77" s="121">
        <f>+N73*N75*N59/1000</f>
        <v>1750.4859450000001</v>
      </c>
      <c r="O77" s="121">
        <f>+O73*O75*O59/1000</f>
        <v>1787.1235200000001</v>
      </c>
      <c r="P77" s="121">
        <f>+P73*P75*P59/1000</f>
        <v>1836.17247</v>
      </c>
      <c r="Q77" s="121">
        <f>+Q73*Q75*Q59/1000</f>
        <v>1901.005834</v>
      </c>
      <c r="R77" s="99"/>
      <c r="S77" s="121">
        <f>+S73*S75*S59/1000</f>
        <v>1831.8829149871021</v>
      </c>
      <c r="T77" s="121">
        <f>+T73*T75*T59/1000</f>
        <v>1883.2206164804834</v>
      </c>
      <c r="U77" s="121">
        <f>+U73*U75*U59/1000</f>
        <v>1938.4016966030754</v>
      </c>
      <c r="V77" s="121">
        <f>+V73*V75*V59/1000</f>
        <v>2007.4402791031714</v>
      </c>
      <c r="W77" s="98"/>
      <c r="X77" s="121">
        <f>+X73*X75*X59/1000</f>
        <v>1929.0142780815361</v>
      </c>
      <c r="Y77" s="121">
        <f>+Y73*Y75*Y59/1000</f>
        <v>1986.0967680296465</v>
      </c>
      <c r="Z77" s="121">
        <f>+Z73*Z75*Z59/1000</f>
        <v>2044.6952049222039</v>
      </c>
      <c r="AA77" s="121">
        <f>+AA73*AA75*AA59/1000</f>
        <v>2117.0980873772946</v>
      </c>
      <c r="AB77" s="98"/>
      <c r="AC77" s="121">
        <f>+AC73*AC75*AC59/1000</f>
        <v>2033.7207591640531</v>
      </c>
      <c r="AD77" s="121">
        <f>+AD73*AD75*AD59/1000</f>
        <v>2094.5227658268327</v>
      </c>
      <c r="AE77" s="121">
        <f>+AE73*AE75*AE59/1000</f>
        <v>2156.3020540253897</v>
      </c>
      <c r="AF77" s="121">
        <f>+AF73*AF75*AF59/1000</f>
        <v>2232.5234023037524</v>
      </c>
      <c r="AG77" s="98"/>
      <c r="AH77" s="121">
        <f>+AH73*AH75*AH59/1000</f>
        <v>2144.5467027024401</v>
      </c>
      <c r="AI77" s="121">
        <f>+AI73*AI75*AI59/1000</f>
        <v>2208.7741939994457</v>
      </c>
      <c r="AJ77" s="121">
        <f>+AJ73*AJ75*AJ59/1000</f>
        <v>2273.8992555317932</v>
      </c>
      <c r="AK77" s="121">
        <f>+AK73*AK75*AK59/1000</f>
        <v>2354.2511553393892</v>
      </c>
      <c r="AL77" s="98"/>
      <c r="AM77" s="121">
        <f>+AM73*AM75*AM59/1000</f>
        <v>2261.4798033975171</v>
      </c>
      <c r="AN77" s="121">
        <f>+AN73*AN75*AN59/1000</f>
        <v>2329.2267997177082</v>
      </c>
      <c r="AO77" s="121">
        <f>+AO73*AO75*AO59/1000</f>
        <v>2397.8953984731274</v>
      </c>
      <c r="AP77" s="121">
        <f>+AP73*AP75*AP59/1000</f>
        <v>2482.6251745097411</v>
      </c>
      <c r="AQ77" s="98"/>
    </row>
    <row r="78" spans="2:43" ht="17.25" outlineLevel="1" x14ac:dyDescent="0.4">
      <c r="B78" s="557" t="s">
        <v>137</v>
      </c>
      <c r="C78" s="558"/>
      <c r="D78" s="103"/>
      <c r="E78" s="103"/>
      <c r="F78" s="103"/>
      <c r="G78" s="103"/>
      <c r="H78" s="113"/>
      <c r="I78" s="103"/>
      <c r="J78" s="103"/>
      <c r="K78" s="103"/>
      <c r="L78" s="103"/>
      <c r="M78" s="113"/>
      <c r="N78" s="103"/>
      <c r="O78" s="103"/>
      <c r="P78" s="103"/>
      <c r="Q78" s="103"/>
      <c r="R78" s="113"/>
      <c r="S78" s="103"/>
      <c r="T78" s="103"/>
      <c r="U78" s="103"/>
      <c r="V78" s="103"/>
      <c r="W78" s="113"/>
      <c r="X78" s="103"/>
      <c r="Y78" s="103"/>
      <c r="Z78" s="103"/>
      <c r="AA78" s="103"/>
      <c r="AB78" s="113"/>
      <c r="AC78" s="103"/>
      <c r="AD78" s="103"/>
      <c r="AE78" s="103"/>
      <c r="AF78" s="103"/>
      <c r="AG78" s="113"/>
      <c r="AH78" s="103"/>
      <c r="AI78" s="103"/>
      <c r="AJ78" s="103"/>
      <c r="AK78" s="103"/>
      <c r="AL78" s="113"/>
      <c r="AM78" s="103"/>
      <c r="AN78" s="103"/>
      <c r="AO78" s="103"/>
      <c r="AP78" s="103"/>
      <c r="AQ78" s="113"/>
    </row>
    <row r="79" spans="2:43" outlineLevel="2" x14ac:dyDescent="0.25">
      <c r="B79" s="104" t="s">
        <v>330</v>
      </c>
      <c r="C79" s="105"/>
      <c r="D79" s="106">
        <v>541</v>
      </c>
      <c r="E79" s="106">
        <v>531</v>
      </c>
      <c r="F79" s="106">
        <v>535</v>
      </c>
      <c r="G79" s="106">
        <v>558</v>
      </c>
      <c r="H79" s="113"/>
      <c r="I79" s="106">
        <v>570</v>
      </c>
      <c r="J79" s="106">
        <v>557.4</v>
      </c>
      <c r="K79" s="106">
        <v>549.4</v>
      </c>
      <c r="L79" s="106">
        <v>565</v>
      </c>
      <c r="M79" s="113"/>
      <c r="N79" s="106">
        <v>557.29999999999995</v>
      </c>
      <c r="O79" s="106">
        <v>547</v>
      </c>
      <c r="P79" s="106">
        <v>541</v>
      </c>
      <c r="Q79" s="106">
        <v>551</v>
      </c>
      <c r="R79" s="113"/>
      <c r="S79" s="106">
        <f>+N79*(1+S80)</f>
        <v>546.01371021641057</v>
      </c>
      <c r="T79" s="106">
        <f>+O79*(1+T80)</f>
        <v>536.19976477429827</v>
      </c>
      <c r="U79" s="106">
        <f>+P79*(1+U80)</f>
        <v>530.17129160529305</v>
      </c>
      <c r="V79" s="106">
        <f>+Q79*(1+V80)</f>
        <v>539.32002905866796</v>
      </c>
      <c r="W79" s="113"/>
      <c r="X79" s="106">
        <f>+S79*(1+X80)</f>
        <v>534.9282551315099</v>
      </c>
      <c r="Y79" s="106">
        <f>+T79*(1+Y80)</f>
        <v>525.30674908897868</v>
      </c>
      <c r="Z79" s="106">
        <f>+U79*(1+Z80)</f>
        <v>519.32509943644038</v>
      </c>
      <c r="AA79" s="106">
        <f>+V79*(1+AA80)</f>
        <v>528.22710436661555</v>
      </c>
      <c r="AB79" s="113"/>
      <c r="AC79" s="106">
        <f>+X79*(1+AC80)</f>
        <v>524.0098351614422</v>
      </c>
      <c r="AD79" s="106">
        <f>+Y79*(1+AD80)</f>
        <v>514.57046770208592</v>
      </c>
      <c r="AE79" s="106">
        <f>+Z79*(1+AE80)</f>
        <v>508.69511557108274</v>
      </c>
      <c r="AF79" s="106">
        <f>+AA79*(1+AF80)</f>
        <v>517.413461903957</v>
      </c>
      <c r="AG79" s="113"/>
      <c r="AH79" s="106">
        <f>+AC79*(1+AH80)</f>
        <v>513.29520458359957</v>
      </c>
      <c r="AI79" s="106">
        <f>+AD79*(1+AI80)</f>
        <v>504.04416674840405</v>
      </c>
      <c r="AJ79" s="106">
        <f>+AE79*(1+AJ80)</f>
        <v>498.2866683796496</v>
      </c>
      <c r="AK79" s="106">
        <f>+AF79*(1+AK80)</f>
        <v>506.82763324304528</v>
      </c>
      <c r="AL79" s="113"/>
      <c r="AM79" s="106">
        <f>+AH79*(1+AM80)</f>
        <v>502.79522943088239</v>
      </c>
      <c r="AN79" s="106">
        <f>+AI79*(1+AN80)</f>
        <v>493.73234325505285</v>
      </c>
      <c r="AO79" s="106">
        <f>+AJ79*(1+AO80)</f>
        <v>488.09242182637411</v>
      </c>
      <c r="AP79" s="106">
        <f>+AK79*(1+AP80)</f>
        <v>496.45896397035085</v>
      </c>
      <c r="AQ79" s="113"/>
    </row>
    <row r="80" spans="2:43" outlineLevel="2" x14ac:dyDescent="0.25">
      <c r="B80" s="122" t="s">
        <v>172</v>
      </c>
      <c r="C80" s="105"/>
      <c r="D80" s="123">
        <f>+D79/527-1</f>
        <v>2.6565464895635715E-2</v>
      </c>
      <c r="E80" s="123">
        <f>+E79/521.4-1</f>
        <v>1.8411967779056404E-2</v>
      </c>
      <c r="F80" s="123">
        <f>+F79/516-1</f>
        <v>3.6821705426356655E-2</v>
      </c>
      <c r="G80" s="123">
        <f>+G79/547-1</f>
        <v>2.0109689213893889E-2</v>
      </c>
      <c r="H80" s="124"/>
      <c r="I80" s="123">
        <f>+I79/D79-1</f>
        <v>5.3604436229205188E-2</v>
      </c>
      <c r="J80" s="123">
        <f>+J79/E79-1</f>
        <v>4.9717514124293816E-2</v>
      </c>
      <c r="K80" s="123">
        <f>+K79/F79-1</f>
        <v>2.6915887850467168E-2</v>
      </c>
      <c r="L80" s="123">
        <f>+L79/G79-1</f>
        <v>1.2544802867383575E-2</v>
      </c>
      <c r="M80" s="124"/>
      <c r="N80" s="123">
        <f>+N79/I79-1</f>
        <v>-2.2280701754386012E-2</v>
      </c>
      <c r="O80" s="123">
        <f>+O79/J79-1</f>
        <v>-1.8658055256548178E-2</v>
      </c>
      <c r="P80" s="123">
        <f>+P79/K79-1</f>
        <v>-1.5289406625409452E-2</v>
      </c>
      <c r="Q80" s="123">
        <f>+Q79/L79-1</f>
        <v>-2.4778761061946875E-2</v>
      </c>
      <c r="R80" s="124"/>
      <c r="S80" s="154">
        <f>AVERAGE(Q80,P80,O80,N80)</f>
        <v>-2.0251731174572629E-2</v>
      </c>
      <c r="T80" s="154">
        <f>AVERAGE(S80,Q80,P80,O80)</f>
        <v>-1.9744488529619283E-2</v>
      </c>
      <c r="U80" s="154">
        <f>AVERAGE(T80,S80,Q80,P80)</f>
        <v>-2.001609684788706E-2</v>
      </c>
      <c r="V80" s="154">
        <f>AVERAGE(U80,T80,S80,Q80)</f>
        <v>-2.1197769403506463E-2</v>
      </c>
      <c r="W80" s="124"/>
      <c r="X80" s="154">
        <f>AVERAGE(V80,U80,T80,S80)</f>
        <v>-2.0302521488896358E-2</v>
      </c>
      <c r="Y80" s="154">
        <f>AVERAGE(X80,V80,U80,T80)</f>
        <v>-2.031521906747729E-2</v>
      </c>
      <c r="Z80" s="154">
        <f>AVERAGE(Y80,X80,V80,U80)</f>
        <v>-2.0457901701941793E-2</v>
      </c>
      <c r="AA80" s="154">
        <f>AVERAGE(Z80,Y80,X80,V80)</f>
        <v>-2.0568352915455473E-2</v>
      </c>
      <c r="AB80" s="124"/>
      <c r="AC80" s="154">
        <f>AVERAGE(AA80,Z80,Y80,X80)</f>
        <v>-2.0410998793442728E-2</v>
      </c>
      <c r="AD80" s="154">
        <f>AVERAGE(AC80,AA80,Z80,Y80)</f>
        <v>-2.0438118119579324E-2</v>
      </c>
      <c r="AE80" s="154">
        <f>AVERAGE(AD80,AC80,AA80,Z80)</f>
        <v>-2.046884288260483E-2</v>
      </c>
      <c r="AF80" s="154">
        <f>AVERAGE(AE80,AD80,AC80,AA80)</f>
        <v>-2.0471578177770587E-2</v>
      </c>
      <c r="AG80" s="124"/>
      <c r="AH80" s="154">
        <f>AVERAGE(AF80,AE80,AD80,AC80)</f>
        <v>-2.0447384493349367E-2</v>
      </c>
      <c r="AI80" s="154">
        <f>AVERAGE(AH80,AF80,AE80,AD80)</f>
        <v>-2.0456480918326025E-2</v>
      </c>
      <c r="AJ80" s="154">
        <f>AVERAGE(AI80,AH80,AF80,AE80)</f>
        <v>-2.0461071618012701E-2</v>
      </c>
      <c r="AK80" s="154">
        <f>AVERAGE(AJ80,AI80,AH80,AF80)</f>
        <v>-2.0459128801864672E-2</v>
      </c>
      <c r="AL80" s="124"/>
      <c r="AM80" s="154">
        <f>AVERAGE(AK80,AJ80,AI80,AH80)</f>
        <v>-2.0456016457888193E-2</v>
      </c>
      <c r="AN80" s="154">
        <f>AVERAGE(AM80,AK80,AJ80,AI80)</f>
        <v>-2.0458174449022898E-2</v>
      </c>
      <c r="AO80" s="154">
        <f>AVERAGE(AN80,AM80,AK80,AJ80)</f>
        <v>-2.0458597831697116E-2</v>
      </c>
      <c r="AP80" s="154">
        <f>AVERAGE(AO80,AN80,AM80,AK80)</f>
        <v>-2.045797938511822E-2</v>
      </c>
      <c r="AQ80" s="124"/>
    </row>
    <row r="81" spans="2:43" outlineLevel="2" x14ac:dyDescent="0.25">
      <c r="B81" s="104" t="s">
        <v>142</v>
      </c>
      <c r="C81" s="105"/>
      <c r="D81" s="107">
        <v>11.99</v>
      </c>
      <c r="E81" s="107">
        <v>11.87</v>
      </c>
      <c r="F81" s="107">
        <v>12.11</v>
      </c>
      <c r="G81" s="107">
        <v>11.994</v>
      </c>
      <c r="H81" s="113"/>
      <c r="I81" s="107">
        <v>11.96</v>
      </c>
      <c r="J81" s="107">
        <v>12.004</v>
      </c>
      <c r="K81" s="107">
        <v>12.414</v>
      </c>
      <c r="L81" s="107">
        <v>12.6</v>
      </c>
      <c r="M81" s="113"/>
      <c r="N81" s="107">
        <v>12.43</v>
      </c>
      <c r="O81" s="107">
        <v>12.53</v>
      </c>
      <c r="P81" s="107">
        <v>12.97</v>
      </c>
      <c r="Q81" s="107">
        <v>13.15</v>
      </c>
      <c r="R81" s="113"/>
      <c r="S81" s="107">
        <f>+N81*(1+S82)</f>
        <v>12.963108163191098</v>
      </c>
      <c r="T81" s="107">
        <f>+O81*(1+T82)</f>
        <v>13.078646391414177</v>
      </c>
      <c r="U81" s="107">
        <f>+P81*(1+U82)</f>
        <v>13.537808409554565</v>
      </c>
      <c r="V81" s="107">
        <f>+Q81*(1+V82)</f>
        <v>13.722369678175099</v>
      </c>
      <c r="W81" s="113"/>
      <c r="X81" s="107">
        <f>+S81*(1+X82)</f>
        <v>13.526939404067353</v>
      </c>
      <c r="Y81" s="107">
        <f>+T81*(1+Y82)</f>
        <v>13.649485158957068</v>
      </c>
      <c r="Z81" s="107">
        <f>+U81*(1+Z82)</f>
        <v>14.128214229520596</v>
      </c>
      <c r="AA81" s="107">
        <f>+V81*(1+AA82)</f>
        <v>14.320251699398762</v>
      </c>
      <c r="AB81" s="113"/>
      <c r="AC81" s="107">
        <f>+X81*(1+AC82)</f>
        <v>14.116454232655551</v>
      </c>
      <c r="AD81" s="107">
        <f>+Y81*(1+AD82)</f>
        <v>14.244633183751837</v>
      </c>
      <c r="AE81" s="107">
        <f>+Z81*(1+AE82)</f>
        <v>14.744079115580737</v>
      </c>
      <c r="AF81" s="107">
        <f>+AA81*(1+AF82)</f>
        <v>14.944414360162821</v>
      </c>
      <c r="AG81" s="113"/>
      <c r="AH81" s="107">
        <f>+AC81*(1+AH82)</f>
        <v>14.731791100457112</v>
      </c>
      <c r="AI81" s="107">
        <f>+AD81*(1+AI82)</f>
        <v>14.865590301973523</v>
      </c>
      <c r="AJ81" s="107">
        <f>+AE81*(1+AJ82)</f>
        <v>15.386771853088197</v>
      </c>
      <c r="AK81" s="107">
        <f>+AF81*(1+AK82)</f>
        <v>15.595835026379136</v>
      </c>
      <c r="AL81" s="113"/>
      <c r="AM81" s="107">
        <f>+AH81*(1+AM82)</f>
        <v>15.373956730900648</v>
      </c>
      <c r="AN81" s="107">
        <f>+AI81*(1+AN82)</f>
        <v>15.51358986626566</v>
      </c>
      <c r="AO81" s="107">
        <f>+AJ81*(1+AO82)</f>
        <v>16.057483151612374</v>
      </c>
      <c r="AP81" s="107">
        <f>+AK81*(1+AP82)</f>
        <v>16.275660341407441</v>
      </c>
      <c r="AQ81" s="113"/>
    </row>
    <row r="82" spans="2:43" outlineLevel="2" x14ac:dyDescent="0.25">
      <c r="B82" s="122" t="s">
        <v>171</v>
      </c>
      <c r="C82" s="105"/>
      <c r="D82" s="123">
        <f>+D81/12.32-1</f>
        <v>-2.6785714285714302E-2</v>
      </c>
      <c r="E82" s="123">
        <f>+E81/12.15-1</f>
        <v>-2.3045267489712029E-2</v>
      </c>
      <c r="F82" s="123">
        <f>+F81/12.07-1</f>
        <v>3.314001657000798E-3</v>
      </c>
      <c r="G82" s="123">
        <f>+G81/12.07-1</f>
        <v>-6.2966031483016049E-3</v>
      </c>
      <c r="H82" s="124"/>
      <c r="I82" s="123">
        <f>+I81/D81-1</f>
        <v>-2.5020850708923348E-3</v>
      </c>
      <c r="J82" s="123">
        <f>+J81/E81-1</f>
        <v>1.1288963774220839E-2</v>
      </c>
      <c r="K82" s="123">
        <f>+K81/F81-1</f>
        <v>2.5103220478942978E-2</v>
      </c>
      <c r="L82" s="123">
        <f>+L81/G81-1</f>
        <v>5.0525262631315737E-2</v>
      </c>
      <c r="M82" s="124"/>
      <c r="N82" s="123">
        <f>+N81/I81-1</f>
        <v>3.9297658862876172E-2</v>
      </c>
      <c r="O82" s="123">
        <f>+O81/J81-1</f>
        <v>4.3818727090969567E-2</v>
      </c>
      <c r="P82" s="123">
        <f>+P81/K81-1</f>
        <v>4.4788142419848631E-2</v>
      </c>
      <c r="Q82" s="123">
        <f>+Q81/L81-1</f>
        <v>4.3650793650793718E-2</v>
      </c>
      <c r="R82" s="124"/>
      <c r="S82" s="154">
        <f>AVERAGE(Q82,P82,O82,N82)</f>
        <v>4.2888830506122022E-2</v>
      </c>
      <c r="T82" s="154">
        <f>AVERAGE(S82,Q82,P82,O82)</f>
        <v>4.3786623416933484E-2</v>
      </c>
      <c r="U82" s="154">
        <f>AVERAGE(T82,S82,Q82,P82)</f>
        <v>4.3778597498424464E-2</v>
      </c>
      <c r="V82" s="154">
        <f>AVERAGE(U82,T82,S82,Q82)</f>
        <v>4.3526211268068424E-2</v>
      </c>
      <c r="W82" s="124"/>
      <c r="X82" s="154">
        <f>AVERAGE(V82,U82,T82,S82)</f>
        <v>4.3495065672387097E-2</v>
      </c>
      <c r="Y82" s="154">
        <f>AVERAGE(X82,V82,U82,T82)</f>
        <v>4.3646624463953371E-2</v>
      </c>
      <c r="Z82" s="154">
        <f>AVERAGE(Y82,X82,V82,U82)</f>
        <v>4.3611624725708335E-2</v>
      </c>
      <c r="AA82" s="154">
        <f>AVERAGE(Z82,Y82,X82,V82)</f>
        <v>4.3569881532529303E-2</v>
      </c>
      <c r="AB82" s="124"/>
      <c r="AC82" s="154">
        <f>AVERAGE(AA82,Z82,Y82,X82)</f>
        <v>4.3580799098644527E-2</v>
      </c>
      <c r="AD82" s="154">
        <f>AVERAGE(AC82,AA82,Z82,Y82)</f>
        <v>4.3602232455208882E-2</v>
      </c>
      <c r="AE82" s="154">
        <f>AVERAGE(AD82,AC82,AA82,Z82)</f>
        <v>4.3591134453022762E-2</v>
      </c>
      <c r="AF82" s="154">
        <f>AVERAGE(AE82,AD82,AC82,AA82)</f>
        <v>4.3586011884851374E-2</v>
      </c>
      <c r="AG82" s="124"/>
      <c r="AH82" s="154">
        <f>AVERAGE(AF82,AE82,AD82,AC82)</f>
        <v>4.3590044472931883E-2</v>
      </c>
      <c r="AI82" s="154">
        <f>AVERAGE(AH82,AF82,AE82,AD82)</f>
        <v>4.3592355816503725E-2</v>
      </c>
      <c r="AJ82" s="154">
        <f>AVERAGE(AI82,AH82,AF82,AE82)</f>
        <v>4.3589886656827434E-2</v>
      </c>
      <c r="AK82" s="154">
        <f>AVERAGE(AJ82,AI82,AH82,AF82)</f>
        <v>4.3589574707778599E-2</v>
      </c>
      <c r="AL82" s="124"/>
      <c r="AM82" s="154">
        <f>AVERAGE(AK82,AJ82,AI82,AH82)</f>
        <v>4.3590465413510408E-2</v>
      </c>
      <c r="AN82" s="154">
        <f>AVERAGE(AM82,AK82,AJ82,AI82)</f>
        <v>4.3590570648655041E-2</v>
      </c>
      <c r="AO82" s="154">
        <f>AVERAGE(AN82,AM82,AK82,AJ82)</f>
        <v>4.3590124356692878E-2</v>
      </c>
      <c r="AP82" s="154">
        <f>AVERAGE(AO82,AN82,AM82,AK82)</f>
        <v>4.3590183781659235E-2</v>
      </c>
      <c r="AQ82" s="124"/>
    </row>
    <row r="83" spans="2:43" outlineLevel="2" x14ac:dyDescent="0.25">
      <c r="B83" s="109" t="s">
        <v>138</v>
      </c>
      <c r="C83" s="108"/>
      <c r="D83" s="125">
        <f>+D79*D81*D59/1000</f>
        <v>421.62835000000001</v>
      </c>
      <c r="E83" s="125">
        <f>+E79*E81*E59/1000</f>
        <v>397.08711</v>
      </c>
      <c r="F83" s="125">
        <f>+F79*F81*F59/1000</f>
        <v>408.16755000000001</v>
      </c>
      <c r="G83" s="125">
        <f>+G79*G81*G59/1000</f>
        <v>435.02238</v>
      </c>
      <c r="H83" s="114"/>
      <c r="I83" s="125">
        <f>+I79*I81*I59/1000</f>
        <v>443.11800000000005</v>
      </c>
      <c r="J83" s="125">
        <f>+J79*J81*J59/1000</f>
        <v>421.53486479999998</v>
      </c>
      <c r="K83" s="125">
        <f>+K79*K81*K59/1000</f>
        <v>422.85559919999997</v>
      </c>
      <c r="L83" s="125">
        <f>+L79*L81*L59/1000</f>
        <v>462.73500000000001</v>
      </c>
      <c r="M83" s="114"/>
      <c r="N83" s="125">
        <f>+N79*N81*N59/1000</f>
        <v>450.270535</v>
      </c>
      <c r="O83" s="125">
        <f>+O79*O81*O59/1000</f>
        <v>431.79633000000001</v>
      </c>
      <c r="P83" s="125">
        <f>+P79*P81*P59/1000</f>
        <v>435.03974000000005</v>
      </c>
      <c r="Q83" s="125">
        <f>+Q79*Q81*Q59/1000</f>
        <v>470.96725000000004</v>
      </c>
      <c r="R83" s="114"/>
      <c r="S83" s="125">
        <f>+S79*S81*S59/1000</f>
        <v>460.07226096783967</v>
      </c>
      <c r="T83" s="125">
        <f>+T79*T81*T59/1000</f>
        <v>441.80432847447793</v>
      </c>
      <c r="U83" s="125">
        <f>+U79*U81*U59/1000</f>
        <v>444.99615693990961</v>
      </c>
      <c r="V83" s="125">
        <f>+V79*V81*V59/1000</f>
        <v>481.0486728831666</v>
      </c>
      <c r="W83" s="114"/>
      <c r="X83" s="125">
        <f>+X79*X81*X59/1000</f>
        <v>470.33623602468202</v>
      </c>
      <c r="Y83" s="125">
        <f>+Y79*Y81*Y59/1000</f>
        <v>451.72050056216995</v>
      </c>
      <c r="Z83" s="125">
        <f>+Z79*Z81*Z59/1000</f>
        <v>454.90244809551717</v>
      </c>
      <c r="AA83" s="125">
        <f>+AA79*AA81*AA59/1000</f>
        <v>491.68243078334336</v>
      </c>
      <c r="AB83" s="114"/>
      <c r="AC83" s="125">
        <f>+AC79*AC81*AC59/1000</f>
        <v>480.81545560866209</v>
      </c>
      <c r="AD83" s="125">
        <f>+AD79*AD81*AD59/1000</f>
        <v>461.78165625529368</v>
      </c>
      <c r="AE83" s="125">
        <f>+AE79*AE81*AE59/1000</f>
        <v>465.0149438407509</v>
      </c>
      <c r="AF83" s="125">
        <f>+AF79*AF81*AF59/1000</f>
        <v>502.60867606423847</v>
      </c>
      <c r="AG83" s="114"/>
      <c r="AH83" s="125">
        <f>+AH79*AH81*AH59/1000</f>
        <v>491.51425224147908</v>
      </c>
      <c r="AI83" s="125">
        <f>+AI79*AI81*AI59/1000</f>
        <v>472.05358684982821</v>
      </c>
      <c r="AJ83" s="125">
        <f>+AJ79*AJ81*AJ59/1000</f>
        <v>475.35544359517127</v>
      </c>
      <c r="AK83" s="125">
        <f>+AK79*AK81*AK59/1000</f>
        <v>513.78601006646716</v>
      </c>
      <c r="AL83" s="114"/>
      <c r="AM83" s="125">
        <f>+AM79*AM81*AM59/1000</f>
        <v>502.44688661528721</v>
      </c>
      <c r="AN83" s="125">
        <f>+AN79*AN81*AN59/1000</f>
        <v>482.55234784905872</v>
      </c>
      <c r="AO83" s="125">
        <f>+AO79*AO81*AO59/1000</f>
        <v>485.92722207421423</v>
      </c>
      <c r="AP83" s="125">
        <f>+AP79*AP81*AP59/1000</f>
        <v>525.21283561685016</v>
      </c>
      <c r="AQ83" s="114"/>
    </row>
    <row r="84" spans="2:43" ht="17.25" outlineLevel="1" x14ac:dyDescent="0.4">
      <c r="B84" s="536" t="s">
        <v>139</v>
      </c>
      <c r="C84" s="537"/>
      <c r="D84" s="23"/>
      <c r="E84" s="23"/>
      <c r="F84" s="23"/>
      <c r="G84" s="23"/>
      <c r="H84" s="31"/>
      <c r="I84" s="23"/>
      <c r="J84" s="23"/>
      <c r="K84" s="23"/>
      <c r="L84" s="23"/>
      <c r="M84" s="31"/>
      <c r="N84" s="23"/>
      <c r="O84" s="23"/>
      <c r="P84" s="23"/>
      <c r="Q84" s="23"/>
      <c r="R84" s="27"/>
      <c r="S84" s="24"/>
      <c r="T84" s="24"/>
      <c r="U84" s="24"/>
      <c r="V84" s="24"/>
      <c r="W84" s="27"/>
      <c r="X84" s="24"/>
      <c r="Y84" s="24"/>
      <c r="Z84" s="24"/>
      <c r="AA84" s="24"/>
      <c r="AB84" s="27"/>
      <c r="AC84" s="24"/>
      <c r="AD84" s="24"/>
      <c r="AE84" s="24"/>
      <c r="AF84" s="24"/>
      <c r="AG84" s="27"/>
      <c r="AH84" s="24"/>
      <c r="AI84" s="24"/>
      <c r="AJ84" s="24"/>
      <c r="AK84" s="24"/>
      <c r="AL84" s="27"/>
      <c r="AM84" s="24"/>
      <c r="AN84" s="24"/>
      <c r="AO84" s="24"/>
      <c r="AP84" s="24"/>
      <c r="AQ84" s="27"/>
    </row>
    <row r="85" spans="2:43" outlineLevel="2" x14ac:dyDescent="0.25">
      <c r="B85" s="100" t="s">
        <v>334</v>
      </c>
      <c r="C85" s="288"/>
      <c r="D85" s="241">
        <v>865</v>
      </c>
      <c r="E85" s="241">
        <v>900.4</v>
      </c>
      <c r="F85" s="241">
        <v>1015</v>
      </c>
      <c r="G85" s="241">
        <v>825.2</v>
      </c>
      <c r="H85" s="31"/>
      <c r="I85" s="241">
        <v>824</v>
      </c>
      <c r="J85" s="241">
        <v>865.5</v>
      </c>
      <c r="K85" s="241">
        <v>1025.4000000000001</v>
      </c>
      <c r="L85" s="241">
        <v>890.4</v>
      </c>
      <c r="M85" s="31"/>
      <c r="N85" s="241">
        <v>876</v>
      </c>
      <c r="O85" s="241">
        <v>939</v>
      </c>
      <c r="P85" s="241">
        <v>1026</v>
      </c>
      <c r="Q85" s="241">
        <v>878</v>
      </c>
      <c r="R85" s="27"/>
      <c r="S85" s="101">
        <f>+N85*(1+S86)</f>
        <v>905.4965885118022</v>
      </c>
      <c r="T85" s="101">
        <f>+O85*(1+T86)</f>
        <v>963.70807774604293</v>
      </c>
      <c r="U85" s="101">
        <f>+P85*(1+U86)</f>
        <v>1037.9641600402106</v>
      </c>
      <c r="V85" s="101">
        <f>+Q85*(1+V86)</f>
        <v>890.66948204826645</v>
      </c>
      <c r="W85" s="27"/>
      <c r="X85" s="101">
        <f>+S85*(1+X86)</f>
        <v>924.98196851923637</v>
      </c>
      <c r="Y85" s="101">
        <f>+T85*(1+Y86)</f>
        <v>981.5181473278908</v>
      </c>
      <c r="Z85" s="101">
        <f>+U85*(1+Z86)</f>
        <v>1055.1140992855328</v>
      </c>
      <c r="AA85" s="101">
        <f>+V85*(1+AA86)</f>
        <v>906.46826084237375</v>
      </c>
      <c r="AB85" s="27"/>
      <c r="AC85" s="101">
        <f>+X85*(1+AC86)</f>
        <v>942.15438245191956</v>
      </c>
      <c r="AD85" s="101">
        <f>+Y85*(1+AD86)</f>
        <v>999.01534493291763</v>
      </c>
      <c r="AE85" s="101">
        <f>+Z85*(1+AE86)</f>
        <v>1073.7507286290218</v>
      </c>
      <c r="AF85" s="101">
        <f>+AA85*(1+AF86)</f>
        <v>922.73778800020432</v>
      </c>
      <c r="AG85" s="27"/>
      <c r="AH85" s="101">
        <f>+AC85*(1+AH86)</f>
        <v>959.11391539636668</v>
      </c>
      <c r="AI85" s="101">
        <f>+AD85*(1+AI86)</f>
        <v>1016.8574762893129</v>
      </c>
      <c r="AJ85" s="101">
        <f>+AE85*(1+AJ86)</f>
        <v>1092.9364845395999</v>
      </c>
      <c r="AK85" s="101">
        <f>+AF85*(1+AK86)</f>
        <v>939.27250078056011</v>
      </c>
      <c r="AL85" s="27"/>
      <c r="AM85" s="101">
        <f>+AH85*(1+AM86)</f>
        <v>976.29348849641838</v>
      </c>
      <c r="AN85" s="101">
        <f>+AI85*(1+AN86)</f>
        <v>1035.0487532163361</v>
      </c>
      <c r="AO85" s="101">
        <f>+AJ85*(1+AO86)</f>
        <v>1112.4969850699367</v>
      </c>
      <c r="AP85" s="101">
        <f>+AK85*(1+AP86)</f>
        <v>956.08970761260935</v>
      </c>
      <c r="AQ85" s="27"/>
    </row>
    <row r="86" spans="2:43" outlineLevel="2" x14ac:dyDescent="0.25">
      <c r="B86" s="118" t="s">
        <v>172</v>
      </c>
      <c r="C86" s="288"/>
      <c r="D86" s="143">
        <f>+D85/846.4-1</f>
        <v>2.197542533081287E-2</v>
      </c>
      <c r="E86" s="143">
        <f>+E85/915-1</f>
        <v>-1.595628415300554E-2</v>
      </c>
      <c r="F86" s="143">
        <f>+F85/1024-1</f>
        <v>-8.7890625E-3</v>
      </c>
      <c r="G86" s="143">
        <f>+G85/881-1</f>
        <v>-6.3337116912599245E-2</v>
      </c>
      <c r="H86" s="61"/>
      <c r="I86" s="143">
        <f>+I85/D85-1</f>
        <v>-4.739884393063587E-2</v>
      </c>
      <c r="J86" s="143">
        <f>+J85/E85-1</f>
        <v>-3.8760550866281607E-2</v>
      </c>
      <c r="K86" s="143">
        <f>+K85/F85-1</f>
        <v>1.0246305418719404E-2</v>
      </c>
      <c r="L86" s="143">
        <f>+L85/G85-1</f>
        <v>7.9011148812409004E-2</v>
      </c>
      <c r="M86" s="61"/>
      <c r="N86" s="143">
        <f>+N85/I85-1</f>
        <v>6.3106796116504826E-2</v>
      </c>
      <c r="O86" s="143">
        <f>+O85/J85-1</f>
        <v>8.4922010398613468E-2</v>
      </c>
      <c r="P86" s="143">
        <f>+P85/K85-1</f>
        <v>5.8513750731403746E-4</v>
      </c>
      <c r="Q86" s="143">
        <f>+Q85/L85-1</f>
        <v>-1.3926325247079929E-2</v>
      </c>
      <c r="R86" s="34"/>
      <c r="S86" s="154">
        <f>AVERAGE(Q86,P86,O86,N86)</f>
        <v>3.3671904693838101E-2</v>
      </c>
      <c r="T86" s="154">
        <f>AVERAGE(S86,Q86,P86,O86)</f>
        <v>2.6313181838171419E-2</v>
      </c>
      <c r="U86" s="154">
        <f>AVERAGE(T86,S86,Q86,P86)</f>
        <v>1.1660974698060907E-2</v>
      </c>
      <c r="V86" s="154">
        <f>AVERAGE(U86,T86,S86,Q86)</f>
        <v>1.4429933995747622E-2</v>
      </c>
      <c r="W86" s="34"/>
      <c r="X86" s="154">
        <f>AVERAGE(V86,U86,T86,S86)</f>
        <v>2.1518998806454512E-2</v>
      </c>
      <c r="Y86" s="154">
        <f>AVERAGE(X86,V86,U86,T86)</f>
        <v>1.8480772334608615E-2</v>
      </c>
      <c r="Z86" s="154">
        <f>AVERAGE(Y86,X86,V86,U86)</f>
        <v>1.6522669958717914E-2</v>
      </c>
      <c r="AA86" s="154">
        <f>AVERAGE(Z86,Y86,X86,V86)</f>
        <v>1.7738093773882163E-2</v>
      </c>
      <c r="AB86" s="34"/>
      <c r="AC86" s="154">
        <f>AVERAGE(AA86,Z86,Y86,X86)</f>
        <v>1.85651337184158E-2</v>
      </c>
      <c r="AD86" s="154">
        <f>AVERAGE(AC86,AA86,Z86,Y86)</f>
        <v>1.7826667446406121E-2</v>
      </c>
      <c r="AE86" s="154">
        <f>AVERAGE(AD86,AC86,AA86,Z86)</f>
        <v>1.76631412243555E-2</v>
      </c>
      <c r="AF86" s="154">
        <f>AVERAGE(AE86,AD86,AC86,AA86)</f>
        <v>1.7948259040764896E-2</v>
      </c>
      <c r="AG86" s="34"/>
      <c r="AH86" s="154">
        <f>AVERAGE(AF86,AE86,AD86,AC86)</f>
        <v>1.800080035748558E-2</v>
      </c>
      <c r="AI86" s="154">
        <f>AVERAGE(AH86,AF86,AE86,AD86)</f>
        <v>1.7859717017253026E-2</v>
      </c>
      <c r="AJ86" s="154">
        <f>AVERAGE(AI86,AH86,AF86,AE86)</f>
        <v>1.7867979409964752E-2</v>
      </c>
      <c r="AK86" s="154">
        <f>AVERAGE(AJ86,AI86,AH86,AF86)</f>
        <v>1.7919188956367064E-2</v>
      </c>
      <c r="AL86" s="34"/>
      <c r="AM86" s="154">
        <f>AVERAGE(AK86,AJ86,AI86,AH86)</f>
        <v>1.7911921435267607E-2</v>
      </c>
      <c r="AN86" s="154">
        <f>AVERAGE(AM86,AK86,AJ86,AI86)</f>
        <v>1.7889701704713112E-2</v>
      </c>
      <c r="AO86" s="154">
        <f>AVERAGE(AN86,AM86,AK86,AJ86)</f>
        <v>1.7897197876578133E-2</v>
      </c>
      <c r="AP86" s="154">
        <f>AVERAGE(AO86,AN86,AM86,AK86)</f>
        <v>1.7904502493231479E-2</v>
      </c>
      <c r="AQ86" s="34"/>
    </row>
    <row r="87" spans="2:43" outlineLevel="2" x14ac:dyDescent="0.25">
      <c r="B87" s="100" t="s">
        <v>143</v>
      </c>
      <c r="C87" s="288"/>
      <c r="D87" s="120">
        <v>14.52</v>
      </c>
      <c r="E87" s="120">
        <v>14.554</v>
      </c>
      <c r="F87" s="120">
        <v>14.48</v>
      </c>
      <c r="G87" s="120">
        <v>15.124999989999999</v>
      </c>
      <c r="H87" s="31"/>
      <c r="I87" s="120">
        <v>15.12</v>
      </c>
      <c r="J87" s="120">
        <v>15.3</v>
      </c>
      <c r="K87" s="120">
        <v>15</v>
      </c>
      <c r="L87" s="120">
        <v>16.042999999999999</v>
      </c>
      <c r="M87" s="31"/>
      <c r="N87" s="120">
        <v>15.42</v>
      </c>
      <c r="O87" s="120">
        <v>15.58</v>
      </c>
      <c r="P87" s="120">
        <v>15.66</v>
      </c>
      <c r="Q87" s="120">
        <v>16.52</v>
      </c>
      <c r="R87" s="27"/>
      <c r="S87" s="120">
        <f>+N87*(1+S88)</f>
        <v>15.851276263384243</v>
      </c>
      <c r="T87" s="120">
        <f>+O87*(1+T88)</f>
        <v>16.047407309053085</v>
      </c>
      <c r="U87" s="120">
        <f>+P87*(1+U88)</f>
        <v>16.175612124405877</v>
      </c>
      <c r="V87" s="120">
        <f>+Q87*(1+V88)</f>
        <v>17.018189985247851</v>
      </c>
      <c r="W87" s="27"/>
      <c r="X87" s="120">
        <f>+S87*(1+X88)</f>
        <v>16.330980663705176</v>
      </c>
      <c r="Y87" s="120">
        <f>+T87*(1+Y88)</f>
        <v>16.54225116240228</v>
      </c>
      <c r="Z87" s="120">
        <f>+U87*(1+Z88)</f>
        <v>16.677789667583003</v>
      </c>
      <c r="AA87" s="120">
        <f>+V87*(1+AA88)</f>
        <v>17.538526794123904</v>
      </c>
      <c r="AB87" s="27"/>
      <c r="AC87" s="120">
        <f>+X87*(1+AC88)</f>
        <v>16.832014665613663</v>
      </c>
      <c r="AD87" s="120">
        <f>+Y87*(1+AD88)</f>
        <v>17.05149206737201</v>
      </c>
      <c r="AE87" s="120">
        <f>+Z87*(1+AE88)</f>
        <v>17.190985724074697</v>
      </c>
      <c r="AF87" s="120">
        <f>+AA87*(1+AF88)</f>
        <v>18.077006860332133</v>
      </c>
      <c r="AG87" s="27"/>
      <c r="AH87" s="120">
        <f>+AC87*(1+AH88)</f>
        <v>17.349338854838116</v>
      </c>
      <c r="AI87" s="120">
        <f>+AD87*(1+AI88)</f>
        <v>17.575794406904134</v>
      </c>
      <c r="AJ87" s="120">
        <f>+AE87*(1+AJ88)</f>
        <v>17.719422189441538</v>
      </c>
      <c r="AK87" s="120">
        <f>+AF87*(1+AK88)</f>
        <v>18.632533952489798</v>
      </c>
      <c r="AL87" s="27"/>
      <c r="AM87" s="120">
        <f>+AH87*(1+AM88)</f>
        <v>17.88262726107045</v>
      </c>
      <c r="AN87" s="120">
        <f>+AI87*(1+AN88)</f>
        <v>18.116059996468813</v>
      </c>
      <c r="AO87" s="120">
        <f>+AJ87*(1+AO88)</f>
        <v>18.26406293384532</v>
      </c>
      <c r="AP87" s="120">
        <f>+AK87*(1+AP88)</f>
        <v>19.205230593332903</v>
      </c>
      <c r="AQ87" s="27"/>
    </row>
    <row r="88" spans="2:43" outlineLevel="2" x14ac:dyDescent="0.25">
      <c r="B88" s="118" t="s">
        <v>171</v>
      </c>
      <c r="C88" s="288"/>
      <c r="D88" s="143">
        <f>+D87/14.68-1</f>
        <v>-1.0899182561307952E-2</v>
      </c>
      <c r="E88" s="143">
        <f>+E87/14.48-1</f>
        <v>5.1104972375690672E-3</v>
      </c>
      <c r="F88" s="143">
        <f>+F87/13.88-1</f>
        <v>4.3227665706051743E-2</v>
      </c>
      <c r="G88" s="143">
        <f>+G87/14.5-1</f>
        <v>4.3103447586206878E-2</v>
      </c>
      <c r="H88" s="61"/>
      <c r="I88" s="143">
        <f>+I87/D87-1</f>
        <v>4.1322314049586861E-2</v>
      </c>
      <c r="J88" s="143">
        <f>+J87/E87-1</f>
        <v>5.1257386285557205E-2</v>
      </c>
      <c r="K88" s="143">
        <f>+K87/F87-1</f>
        <v>3.5911602209944826E-2</v>
      </c>
      <c r="L88" s="143">
        <f>+L87/G87-1</f>
        <v>6.0694215577318467E-2</v>
      </c>
      <c r="M88" s="61"/>
      <c r="N88" s="143">
        <f>+N87/I87-1</f>
        <v>1.9841269841269993E-2</v>
      </c>
      <c r="O88" s="143">
        <f>+O87/J87-1</f>
        <v>1.8300653594771177E-2</v>
      </c>
      <c r="P88" s="143">
        <f>+P87/K87-1</f>
        <v>4.4000000000000039E-2</v>
      </c>
      <c r="Q88" s="143">
        <f>+Q87/L87-1</f>
        <v>2.9732593654553385E-2</v>
      </c>
      <c r="R88" s="34"/>
      <c r="S88" s="154">
        <f>AVERAGE(Q88,P88,O88,N88)</f>
        <v>2.7968629272648649E-2</v>
      </c>
      <c r="T88" s="154">
        <f>AVERAGE(S88,Q88,P88,O88)</f>
        <v>3.0000469130493312E-2</v>
      </c>
      <c r="U88" s="154">
        <f>AVERAGE(T88,S88,Q88,P88)</f>
        <v>3.2925423014423846E-2</v>
      </c>
      <c r="V88" s="154">
        <f>AVERAGE(U88,T88,S88,Q88)</f>
        <v>3.0156778768029798E-2</v>
      </c>
      <c r="W88" s="34"/>
      <c r="X88" s="154">
        <f>AVERAGE(V88,U88,T88,S88)</f>
        <v>3.0262825046398902E-2</v>
      </c>
      <c r="Y88" s="154">
        <f>AVERAGE(X88,V88,U88,T88)</f>
        <v>3.0836373989836463E-2</v>
      </c>
      <c r="Z88" s="154">
        <f>AVERAGE(Y88,X88,V88,U88)</f>
        <v>3.1045350204672254E-2</v>
      </c>
      <c r="AA88" s="154">
        <f>AVERAGE(Z88,Y88,X88,V88)</f>
        <v>3.0575332002234355E-2</v>
      </c>
      <c r="AB88" s="34"/>
      <c r="AC88" s="154">
        <f>AVERAGE(AA88,Z88,Y88,X88)</f>
        <v>3.0679970310785495E-2</v>
      </c>
      <c r="AD88" s="154">
        <f>AVERAGE(AC88,AA88,Z88,Y88)</f>
        <v>3.0784256626882143E-2</v>
      </c>
      <c r="AE88" s="154">
        <f>AVERAGE(AD88,AC88,AA88,Z88)</f>
        <v>3.0771227286143558E-2</v>
      </c>
      <c r="AF88" s="154">
        <f>AVERAGE(AE88,AD88,AC88,AA88)</f>
        <v>3.0702696556511387E-2</v>
      </c>
      <c r="AG88" s="34"/>
      <c r="AH88" s="154">
        <f>AVERAGE(AF88,AE88,AD88,AC88)</f>
        <v>3.0734537695080645E-2</v>
      </c>
      <c r="AI88" s="154">
        <f>AVERAGE(AH88,AF88,AE88,AD88)</f>
        <v>3.0748179541154434E-2</v>
      </c>
      <c r="AJ88" s="154">
        <f>AVERAGE(AI88,AH88,AF88,AE88)</f>
        <v>3.073916026972251E-2</v>
      </c>
      <c r="AK88" s="154">
        <f>AVERAGE(AJ88,AI88,AH88,AF88)</f>
        <v>3.0731143515617246E-2</v>
      </c>
      <c r="AL88" s="34"/>
      <c r="AM88" s="154">
        <f>AVERAGE(AK88,AJ88,AI88,AH88)</f>
        <v>3.0738255255393705E-2</v>
      </c>
      <c r="AN88" s="154">
        <f>AVERAGE(AM88,AK88,AJ88,AI88)</f>
        <v>3.0739184645471977E-2</v>
      </c>
      <c r="AO88" s="154">
        <f>AVERAGE(AN88,AM88,AK88,AJ88)</f>
        <v>3.0736935921551359E-2</v>
      </c>
      <c r="AP88" s="154">
        <f>AVERAGE(AO88,AN88,AM88,AK88)</f>
        <v>3.0736379834508571E-2</v>
      </c>
      <c r="AQ88" s="34"/>
    </row>
    <row r="89" spans="2:43" outlineLevel="2" x14ac:dyDescent="0.25">
      <c r="B89" s="96" t="s">
        <v>140</v>
      </c>
      <c r="C89" s="97"/>
      <c r="D89" s="121">
        <f>+D85*D87*D59/1000</f>
        <v>816.38699999999994</v>
      </c>
      <c r="E89" s="121">
        <f>+E85*E87*E59/1000</f>
        <v>825.57856079999999</v>
      </c>
      <c r="F89" s="121">
        <f>+F85*F87*F59/1000</f>
        <v>925.92360000000008</v>
      </c>
      <c r="G89" s="121">
        <f>+G85*G87*G59/1000</f>
        <v>811.27474946361997</v>
      </c>
      <c r="H89" s="33"/>
      <c r="I89" s="121">
        <f>+I85*I87*I59/1000</f>
        <v>809.82719999999995</v>
      </c>
      <c r="J89" s="121">
        <f>+J85*J87*J59/1000</f>
        <v>834.25545000000011</v>
      </c>
      <c r="K89" s="121">
        <f>+K85*K87*K59/1000</f>
        <v>953.62200000000007</v>
      </c>
      <c r="L89" s="121">
        <f>+L85*L87*L59/1000</f>
        <v>928.50466799999992</v>
      </c>
      <c r="M89" s="33"/>
      <c r="N89" s="121">
        <f>+N85*N87*N59/1000</f>
        <v>878.01480000000004</v>
      </c>
      <c r="O89" s="121">
        <f>+O85*O87*O59/1000</f>
        <v>921.66606000000002</v>
      </c>
      <c r="P89" s="121">
        <f>+P85*P87*P59/1000</f>
        <v>996.16392000000008</v>
      </c>
      <c r="Q89" s="121">
        <f>+Q85*Q87*Q59/1000</f>
        <v>942.79640000000006</v>
      </c>
      <c r="R89" s="33"/>
      <c r="S89" s="121">
        <f>+S85*S87*S59/1000</f>
        <v>932.96297770341505</v>
      </c>
      <c r="T89" s="121">
        <f>+T85*T87*T59/1000</f>
        <v>974.2960111887669</v>
      </c>
      <c r="U89" s="121">
        <f>+U85*U87*U59/1000</f>
        <v>1040.9617504144021</v>
      </c>
      <c r="V89" s="121">
        <f>+V85*V87*V59/1000</f>
        <v>985.24285987138035</v>
      </c>
      <c r="W89" s="28"/>
      <c r="X89" s="121">
        <f>+X85*X87*X59/1000</f>
        <v>981.88107174063407</v>
      </c>
      <c r="Y89" s="121">
        <f>+Y85*Y87*Y59/1000</f>
        <v>1022.9007419538852</v>
      </c>
      <c r="Z89" s="121">
        <f>+Z85*Z87*Z59/1000</f>
        <v>1091.0122034374951</v>
      </c>
      <c r="AA89" s="121">
        <f>+AA85*AA87*AA59/1000</f>
        <v>1033.3776622524465</v>
      </c>
      <c r="AB89" s="28"/>
      <c r="AC89" s="121">
        <f>+AC85*AC87*AC59/1000</f>
        <v>1030.793164875688</v>
      </c>
      <c r="AD89" s="121">
        <f>+AD85*AD87*AD59/1000</f>
        <v>1073.1862404463131</v>
      </c>
      <c r="AE89" s="121">
        <f>+AE85*AE87*AE59/1000</f>
        <v>1144.4476737187317</v>
      </c>
      <c r="AF89" s="121">
        <f>+AF85*AF87*AF59/1000</f>
        <v>1084.2219260578804</v>
      </c>
      <c r="AG89" s="28"/>
      <c r="AH89" s="121">
        <f>+AH85*AH87*AH59/1000</f>
        <v>1081.5995007091365</v>
      </c>
      <c r="AI89" s="121">
        <f>+AI85*AI87*AI59/1000</f>
        <v>1125.9409104962144</v>
      </c>
      <c r="AJ89" s="121">
        <f>+AJ85*AJ87*AJ59/1000</f>
        <v>1200.7045857396752</v>
      </c>
      <c r="AK89" s="121">
        <f>+AK85*AK87*AK59/1000</f>
        <v>1137.5667394931961</v>
      </c>
      <c r="AL89" s="28"/>
      <c r="AM89" s="121">
        <f>+AM85*AM87*AM59/1000</f>
        <v>1134.8150158924554</v>
      </c>
      <c r="AN89" s="121">
        <f>+AN85*AN87*AN59/1000</f>
        <v>1181.3133346898553</v>
      </c>
      <c r="AO89" s="121">
        <f>+AO85*AO87*AO59/1000</f>
        <v>1259.7603268398909</v>
      </c>
      <c r="AP89" s="121">
        <f>+AP85*AP87*AP59/1000</f>
        <v>1193.5250146698058</v>
      </c>
      <c r="AQ89" s="28"/>
    </row>
    <row r="90" spans="2:43" ht="17.25" outlineLevel="1" x14ac:dyDescent="0.4">
      <c r="B90" s="557" t="s">
        <v>144</v>
      </c>
      <c r="C90" s="558"/>
      <c r="D90" s="103"/>
      <c r="E90" s="103"/>
      <c r="F90" s="103"/>
      <c r="G90" s="103"/>
      <c r="H90" s="113"/>
      <c r="I90" s="103"/>
      <c r="J90" s="103"/>
      <c r="K90" s="103"/>
      <c r="L90" s="103"/>
      <c r="M90" s="113"/>
      <c r="N90" s="103"/>
      <c r="O90" s="103"/>
      <c r="P90" s="103"/>
      <c r="Q90" s="103"/>
      <c r="R90" s="113"/>
      <c r="S90" s="103"/>
      <c r="T90" s="103"/>
      <c r="U90" s="103"/>
      <c r="V90" s="103"/>
      <c r="W90" s="113"/>
      <c r="X90" s="103"/>
      <c r="Y90" s="103"/>
      <c r="Z90" s="103"/>
      <c r="AA90" s="103"/>
      <c r="AB90" s="113"/>
      <c r="AC90" s="103"/>
      <c r="AD90" s="103"/>
      <c r="AE90" s="103"/>
      <c r="AF90" s="103"/>
      <c r="AG90" s="113"/>
      <c r="AH90" s="103"/>
      <c r="AI90" s="103"/>
      <c r="AJ90" s="103"/>
      <c r="AK90" s="103"/>
      <c r="AL90" s="113"/>
      <c r="AM90" s="103"/>
      <c r="AN90" s="103"/>
      <c r="AO90" s="103"/>
      <c r="AP90" s="103"/>
      <c r="AQ90" s="113"/>
    </row>
    <row r="91" spans="2:43" outlineLevel="2" x14ac:dyDescent="0.25">
      <c r="B91" s="104" t="s">
        <v>335</v>
      </c>
      <c r="C91" s="105"/>
      <c r="D91" s="106">
        <v>389.4</v>
      </c>
      <c r="E91" s="106">
        <v>402.4</v>
      </c>
      <c r="F91" s="106">
        <v>386</v>
      </c>
      <c r="G91" s="106">
        <v>398.60399999999998</v>
      </c>
      <c r="H91" s="113"/>
      <c r="I91" s="106">
        <v>500</v>
      </c>
      <c r="J91" s="106">
        <v>533.59990000000005</v>
      </c>
      <c r="K91" s="106">
        <v>534.70000000000005</v>
      </c>
      <c r="L91" s="106">
        <v>540.29999999999995</v>
      </c>
      <c r="M91" s="113"/>
      <c r="N91" s="106">
        <v>503.7</v>
      </c>
      <c r="O91" s="106">
        <v>543</v>
      </c>
      <c r="P91" s="106">
        <v>529.20000000000005</v>
      </c>
      <c r="Q91" s="106">
        <v>534</v>
      </c>
      <c r="R91" s="420"/>
      <c r="S91" s="106">
        <f>+N91*(1+S92)</f>
        <v>504.08659630641381</v>
      </c>
      <c r="T91" s="106">
        <f>+O91*(1+T92)</f>
        <v>542.51639945995305</v>
      </c>
      <c r="U91" s="106">
        <f>+P91*(1+U92)</f>
        <v>526.28021490598633</v>
      </c>
      <c r="V91" s="106">
        <f>+Q91*(1+V92)</f>
        <v>531.69036441828666</v>
      </c>
      <c r="W91" s="113"/>
      <c r="X91" s="106">
        <f>+S91*(1+X92)</f>
        <v>502.8307133796996</v>
      </c>
      <c r="Y91" s="106">
        <f>+T91*(1+Y92)</f>
        <v>540.72276853689448</v>
      </c>
      <c r="Z91" s="106">
        <f>+U91*(1+Z92)</f>
        <v>524.22245240570214</v>
      </c>
      <c r="AA91" s="106">
        <f>+V91*(1+AA92)</f>
        <v>529.82510042966055</v>
      </c>
      <c r="AB91" s="113"/>
      <c r="AC91" s="106">
        <f>+X91*(1+AC92)</f>
        <v>501.16939520984903</v>
      </c>
      <c r="AD91" s="106">
        <f>+Y91*(1+AD92)</f>
        <v>538.82641948751984</v>
      </c>
      <c r="AE91" s="106">
        <f>+Z91*(1+AE92)</f>
        <v>522.35763784220103</v>
      </c>
      <c r="AF91" s="106">
        <f>+AA91*(1+AF92)</f>
        <v>527.9870751390074</v>
      </c>
      <c r="AG91" s="113"/>
      <c r="AH91" s="106">
        <f>+AC91*(1+AH92)</f>
        <v>499.43567384650811</v>
      </c>
      <c r="AI91" s="106">
        <f>+AD91*(1+AI92)</f>
        <v>536.94149303239647</v>
      </c>
      <c r="AJ91" s="106">
        <f>+AE91*(1+AJ92)</f>
        <v>520.53147912902591</v>
      </c>
      <c r="AK91" s="106">
        <f>+AF91*(1+AK92)</f>
        <v>526.14932776535306</v>
      </c>
      <c r="AL91" s="113"/>
      <c r="AM91" s="106">
        <f>+AH91*(1+AM92)</f>
        <v>497.69586224545503</v>
      </c>
      <c r="AN91" s="106">
        <f>+AI91*(1+AN92)</f>
        <v>535.06777896529752</v>
      </c>
      <c r="AO91" s="106">
        <f>+AJ91*(1+AO92)</f>
        <v>518.71614888246995</v>
      </c>
      <c r="AP91" s="106">
        <f>+AK91*(1+AP92)</f>
        <v>524.31552857118891</v>
      </c>
      <c r="AQ91" s="113"/>
    </row>
    <row r="92" spans="2:43" outlineLevel="2" x14ac:dyDescent="0.25">
      <c r="B92" s="122" t="s">
        <v>172</v>
      </c>
      <c r="C92" s="105"/>
      <c r="D92" s="123">
        <f>+D91/409.44-1</f>
        <v>-4.894490035169996E-2</v>
      </c>
      <c r="E92" s="123">
        <f>+E91/424.4-1</f>
        <v>-5.1837888784165842E-2</v>
      </c>
      <c r="F92" s="123">
        <f>+F91/397.7-1</f>
        <v>-2.9419160170983116E-2</v>
      </c>
      <c r="G92" s="123">
        <f>+G91/407.5-1</f>
        <v>-2.1830674846625819E-2</v>
      </c>
      <c r="H92" s="124"/>
      <c r="I92" s="123">
        <f>+I91/D91-1</f>
        <v>0.28402670775552141</v>
      </c>
      <c r="J92" s="123">
        <f>+J91/E91-1</f>
        <v>0.32604348906560654</v>
      </c>
      <c r="K92" s="123">
        <f>+K91/F91-1</f>
        <v>0.38523316062176183</v>
      </c>
      <c r="L92" s="123">
        <f>+L91/G91-1</f>
        <v>0.35548062738958963</v>
      </c>
      <c r="M92" s="124"/>
      <c r="N92" s="123">
        <f>+N91/I91-1</f>
        <v>7.4000000000000732E-3</v>
      </c>
      <c r="O92" s="123">
        <f>+O91/J91-1</f>
        <v>1.761638261176568E-2</v>
      </c>
      <c r="P92" s="123">
        <f>+P91/K91-1</f>
        <v>-1.028614176173559E-2</v>
      </c>
      <c r="Q92" s="123">
        <f>+Q91/L91-1</f>
        <v>-1.1660188784008763E-2</v>
      </c>
      <c r="R92" s="124"/>
      <c r="S92" s="154">
        <f>AVERAGE(Q92,P92,O92,N92)</f>
        <v>7.6751301650535009E-4</v>
      </c>
      <c r="T92" s="154">
        <f>AVERAGE(S92,Q92,P92,O92)</f>
        <v>-8.9060872936833069E-4</v>
      </c>
      <c r="U92" s="154">
        <f>AVERAGE(T92,S92,Q92,P92)</f>
        <v>-5.5173565646518333E-3</v>
      </c>
      <c r="V92" s="154">
        <f>AVERAGE(U92,T92,S92,Q92)</f>
        <v>-4.3251602653808941E-3</v>
      </c>
      <c r="W92" s="518"/>
      <c r="X92" s="154">
        <f>AVERAGE(V92,U92,T92,S92)</f>
        <v>-2.491403135723927E-3</v>
      </c>
      <c r="Y92" s="154">
        <f>AVERAGE(X92,V92,U92,T92)</f>
        <v>-3.3061321737812462E-3</v>
      </c>
      <c r="Z92" s="154">
        <f>AVERAGE(Y92,X92,V92,U92)</f>
        <v>-3.910013034884475E-3</v>
      </c>
      <c r="AA92" s="154">
        <f>AVERAGE(Z92,Y92,X92,V92)</f>
        <v>-3.5081771524426357E-3</v>
      </c>
      <c r="AB92" s="124"/>
      <c r="AC92" s="154">
        <f>AVERAGE(AA92,Z92,Y92,X92)</f>
        <v>-3.3039313742080707E-3</v>
      </c>
      <c r="AD92" s="154">
        <f>AVERAGE(AC92,AA92,Z92,Y92)</f>
        <v>-3.5070634338291067E-3</v>
      </c>
      <c r="AE92" s="154">
        <f>AVERAGE(AD92,AC92,AA92,Z92)</f>
        <v>-3.5572962488410725E-3</v>
      </c>
      <c r="AF92" s="154">
        <f>AVERAGE(AE92,AD92,AC92,AA92)</f>
        <v>-3.4691170523302216E-3</v>
      </c>
      <c r="AG92" s="124"/>
      <c r="AH92" s="154">
        <f>AVERAGE(AF92,AE92,AD92,AC92)</f>
        <v>-3.4593520273021178E-3</v>
      </c>
      <c r="AI92" s="154">
        <f>AVERAGE(AH92,AF92,AE92,AD92)</f>
        <v>-3.4982071905756296E-3</v>
      </c>
      <c r="AJ92" s="154">
        <f>AVERAGE(AI92,AH92,AF92,AE92)</f>
        <v>-3.4959931297622606E-3</v>
      </c>
      <c r="AK92" s="154">
        <f>AVERAGE(AJ92,AI92,AH92,AF92)</f>
        <v>-3.4806673499925573E-3</v>
      </c>
      <c r="AL92" s="124"/>
      <c r="AM92" s="154">
        <f>AVERAGE(AK92,AJ92,AI92,AH92)</f>
        <v>-3.4835549244081414E-3</v>
      </c>
      <c r="AN92" s="154">
        <f>AVERAGE(AM92,AK92,AJ92,AI92)</f>
        <v>-3.4896056486846475E-3</v>
      </c>
      <c r="AO92" s="154">
        <f>AVERAGE(AN92,AM92,AK92,AJ92)</f>
        <v>-3.4874552632119019E-3</v>
      </c>
      <c r="AP92" s="154">
        <f>AVERAGE(AO92,AN92,AM92,AK92)</f>
        <v>-3.4853207965743122E-3</v>
      </c>
      <c r="AQ92" s="124"/>
    </row>
    <row r="93" spans="2:43" outlineLevel="2" x14ac:dyDescent="0.25">
      <c r="B93" s="104" t="s">
        <v>145</v>
      </c>
      <c r="C93" s="105"/>
      <c r="D93" s="107">
        <v>57.86</v>
      </c>
      <c r="E93" s="107">
        <v>56.52</v>
      </c>
      <c r="F93" s="107">
        <v>55.35</v>
      </c>
      <c r="G93" s="107">
        <v>56.124999899999999</v>
      </c>
      <c r="H93" s="113"/>
      <c r="I93" s="107">
        <v>52.78</v>
      </c>
      <c r="J93" s="107">
        <v>52.419998999999997</v>
      </c>
      <c r="K93" s="107">
        <v>50.28</v>
      </c>
      <c r="L93" s="107">
        <v>51.201999999999998</v>
      </c>
      <c r="M93" s="113"/>
      <c r="N93" s="107">
        <v>53.17</v>
      </c>
      <c r="O93" s="107">
        <v>53.75</v>
      </c>
      <c r="P93" s="107">
        <v>55.26</v>
      </c>
      <c r="Q93" s="107">
        <v>56.5</v>
      </c>
      <c r="R93" s="113"/>
      <c r="S93" s="107">
        <f>+N93*(1+S94)</f>
        <v>56.297446695169256</v>
      </c>
      <c r="T93" s="107">
        <f>+O93*(1+T94)</f>
        <v>57.602660823803568</v>
      </c>
      <c r="U93" s="107">
        <f>+P93*(1+U94)</f>
        <v>59.860602755423862</v>
      </c>
      <c r="V93" s="107">
        <f>+Q93*(1+V94)</f>
        <v>60.98078125853133</v>
      </c>
      <c r="W93" s="113"/>
      <c r="X93" s="107">
        <f>+S93*(1+X94)</f>
        <v>60.422034009244911</v>
      </c>
      <c r="Y93" s="107">
        <f>+T93*(1+Y94)</f>
        <v>62.030883113867787</v>
      </c>
      <c r="Z93" s="107">
        <f>+U93*(1+Z94)</f>
        <v>64.540192342941964</v>
      </c>
      <c r="AA93" s="107">
        <f>+V93*(1+AA94)</f>
        <v>65.670510555412449</v>
      </c>
      <c r="AB93" s="113"/>
      <c r="AC93" s="107">
        <f>+X93*(1+AC94)</f>
        <v>65.032527144762426</v>
      </c>
      <c r="AD93" s="107">
        <f>+Y93*(1+AD94)</f>
        <v>66.811292498849213</v>
      </c>
      <c r="AE93" s="107">
        <f>+Z93*(1+AE94)</f>
        <v>69.517042146862977</v>
      </c>
      <c r="AF93" s="107">
        <f>+AA93*(1+AF94)</f>
        <v>70.717080296557995</v>
      </c>
      <c r="AG93" s="113"/>
      <c r="AH93" s="107">
        <f>+AC93*(1+AH94)</f>
        <v>70.029123335764083</v>
      </c>
      <c r="AI93" s="107">
        <f>+AD93*(1+AI94)</f>
        <v>71.953364838373261</v>
      </c>
      <c r="AJ93" s="107">
        <f>+AE93*(1+AJ94)</f>
        <v>74.865607083393257</v>
      </c>
      <c r="AK93" s="107">
        <f>+AF93*(1+AK94)</f>
        <v>76.154907359342587</v>
      </c>
      <c r="AL93" s="113"/>
      <c r="AM93" s="107">
        <f>+AH93*(1+AM94)</f>
        <v>75.414902333547076</v>
      </c>
      <c r="AN93" s="107">
        <f>+AI93*(1+AN94)</f>
        <v>77.488489875157171</v>
      </c>
      <c r="AO93" s="107">
        <f>+AJ93*(1+AO94)</f>
        <v>80.62405796808234</v>
      </c>
      <c r="AP93" s="107">
        <f>+AK93*(1+AP94)</f>
        <v>82.012113880941826</v>
      </c>
      <c r="AQ93" s="113"/>
    </row>
    <row r="94" spans="2:43" outlineLevel="2" x14ac:dyDescent="0.25">
      <c r="B94" s="122" t="s">
        <v>171</v>
      </c>
      <c r="C94" s="105"/>
      <c r="D94" s="123">
        <f>+D93/62.19-1</f>
        <v>-6.9625341694806164E-2</v>
      </c>
      <c r="E94" s="123">
        <f>+E93/61.65-1</f>
        <v>-8.3211678832116664E-2</v>
      </c>
      <c r="F94" s="123">
        <f>+F93/58.4-1</f>
        <v>-5.2226027397260233E-2</v>
      </c>
      <c r="G94" s="123">
        <f>+G93/57.85-1</f>
        <v>-2.9818497839239511E-2</v>
      </c>
      <c r="H94" s="124"/>
      <c r="I94" s="123">
        <f>+I93/D93-1</f>
        <v>-8.7798133425509794E-2</v>
      </c>
      <c r="J94" s="123">
        <f>+J93/E93-1</f>
        <v>-7.2540711252654044E-2</v>
      </c>
      <c r="K94" s="123">
        <f>+K93/F93-1</f>
        <v>-9.1598915989159924E-2</v>
      </c>
      <c r="L94" s="123">
        <f>+L93/G93-1</f>
        <v>-8.7714920423545562E-2</v>
      </c>
      <c r="M94" s="124"/>
      <c r="N94" s="123">
        <f>+N93/I93-1</f>
        <v>7.3891625615762901E-3</v>
      </c>
      <c r="O94" s="123">
        <f>+O93/J93-1</f>
        <v>2.5372014982297131E-2</v>
      </c>
      <c r="P94" s="123">
        <f>+P93/K93-1</f>
        <v>9.9045346062052397E-2</v>
      </c>
      <c r="Q94" s="123">
        <f>+Q93/L93-1</f>
        <v>0.10347252060466383</v>
      </c>
      <c r="R94" s="124"/>
      <c r="S94" s="154">
        <f>AVERAGE(Q94,P94,O94,N94)</f>
        <v>5.8819761052647412E-2</v>
      </c>
      <c r="T94" s="154">
        <f>AVERAGE(S94,Q94,P94,O94)</f>
        <v>7.1677410675415193E-2</v>
      </c>
      <c r="U94" s="154">
        <f>AVERAGE(T94,S94,Q94,P94)</f>
        <v>8.3253759598694715E-2</v>
      </c>
      <c r="V94" s="154">
        <f>AVERAGE(U94,T94,S94,Q94)</f>
        <v>7.9305862982855288E-2</v>
      </c>
      <c r="W94" s="518"/>
      <c r="X94" s="154">
        <f>AVERAGE(V94,U94,T94,S94)</f>
        <v>7.3264198577403156E-2</v>
      </c>
      <c r="Y94" s="154">
        <f>AVERAGE(X94,V94,U94,T94)</f>
        <v>7.6875307958592085E-2</v>
      </c>
      <c r="Z94" s="154">
        <f>AVERAGE(Y94,X94,V94,U94)</f>
        <v>7.8174782279386318E-2</v>
      </c>
      <c r="AA94" s="154">
        <f>AVERAGE(Z94,Y94,X94,V94)</f>
        <v>7.6905037949559205E-2</v>
      </c>
      <c r="AB94" s="124"/>
      <c r="AC94" s="154">
        <f>AVERAGE(AA94,Z94,Y94,X94)</f>
        <v>7.6304831691235198E-2</v>
      </c>
      <c r="AD94" s="154">
        <f>AVERAGE(AC94,AA94,Z94,Y94)</f>
        <v>7.7064989969693201E-2</v>
      </c>
      <c r="AE94" s="154">
        <f>AVERAGE(AD94,AC94,AA94,Z94)</f>
        <v>7.7112410472468473E-2</v>
      </c>
      <c r="AF94" s="154">
        <f>AVERAGE(AE94,AD94,AC94,AA94)</f>
        <v>7.6846817520739019E-2</v>
      </c>
      <c r="AG94" s="124"/>
      <c r="AH94" s="154">
        <f>AVERAGE(AF94,AE94,AD94,AC94)</f>
        <v>7.6832262413533969E-2</v>
      </c>
      <c r="AI94" s="154">
        <f>AVERAGE(AH94,AF94,AE94,AD94)</f>
        <v>7.6964120094108662E-2</v>
      </c>
      <c r="AJ94" s="154">
        <f>AVERAGE(AI94,AH94,AF94,AE94)</f>
        <v>7.6938902625212524E-2</v>
      </c>
      <c r="AK94" s="154">
        <f>AVERAGE(AJ94,AI94,AH94,AF94)</f>
        <v>7.6895525663398551E-2</v>
      </c>
      <c r="AL94" s="124"/>
      <c r="AM94" s="154">
        <f>AVERAGE(AK94,AJ94,AI94,AH94)</f>
        <v>7.6907702699063427E-2</v>
      </c>
      <c r="AN94" s="154">
        <f>AVERAGE(AM94,AK94,AJ94,AI94)</f>
        <v>7.6926562770445794E-2</v>
      </c>
      <c r="AO94" s="154">
        <f>AVERAGE(AN94,AM94,AK94,AJ94)</f>
        <v>7.6917173439530084E-2</v>
      </c>
      <c r="AP94" s="154">
        <f>AVERAGE(AO94,AN94,AM94,AK94)</f>
        <v>7.6911741143109474E-2</v>
      </c>
      <c r="AQ94" s="124"/>
    </row>
    <row r="95" spans="2:43" outlineLevel="2" x14ac:dyDescent="0.25">
      <c r="B95" s="109" t="s">
        <v>146</v>
      </c>
      <c r="C95" s="108"/>
      <c r="D95" s="125">
        <f>+D91*D93*D59/1000</f>
        <v>1464.4944599999997</v>
      </c>
      <c r="E95" s="125">
        <f>+E91*E93*E59/1000</f>
        <v>1432.8498240000001</v>
      </c>
      <c r="F95" s="125">
        <f>+F91*F93*F59/1000</f>
        <v>1346.0013000000001</v>
      </c>
      <c r="G95" s="125">
        <f>+G91*G93*G59/1000</f>
        <v>1454.1572149090739</v>
      </c>
      <c r="H95" s="114"/>
      <c r="I95" s="125">
        <f>+I91*I93*I59/1000</f>
        <v>1715.35</v>
      </c>
      <c r="J95" s="125">
        <f>+J91*J93*J59/1000</f>
        <v>1762.1922921372063</v>
      </c>
      <c r="K95" s="125">
        <f>+K91*K93*K59/1000</f>
        <v>1666.8523920000002</v>
      </c>
      <c r="L95" s="125">
        <f>+L91*L93*L59/1000</f>
        <v>1798.188639</v>
      </c>
      <c r="M95" s="114"/>
      <c r="N95" s="125">
        <f>+N91*N93*N59/1000</f>
        <v>1740.8123849999999</v>
      </c>
      <c r="O95" s="125">
        <f>+O91*O93*O59/1000</f>
        <v>1838.7337500000001</v>
      </c>
      <c r="P95" s="125">
        <f>+P91*P93*P59/1000</f>
        <v>1813.1027040000001</v>
      </c>
      <c r="Q95" s="125">
        <f>+Q91*Q93*Q59/1000</f>
        <v>1961.115</v>
      </c>
      <c r="R95" s="114"/>
      <c r="S95" s="125">
        <f>+S91*S93*S59/1000</f>
        <v>1844.6212385451263</v>
      </c>
      <c r="T95" s="125">
        <f>+T91*T93*T59/1000</f>
        <v>1968.7744534148967</v>
      </c>
      <c r="U95" s="125">
        <f>+U91*U93*U59/1000</f>
        <v>1953.2139547166335</v>
      </c>
      <c r="V95" s="125">
        <f>+V91*V93*V59/1000</f>
        <v>2107.4880976409227</v>
      </c>
      <c r="W95" s="114"/>
      <c r="X95" s="125">
        <f>+X91*X93*X59/1000</f>
        <v>1974.8335402068708</v>
      </c>
      <c r="Y95" s="125">
        <f>+Y91*Y93*Y59/1000</f>
        <v>2113.1151836835024</v>
      </c>
      <c r="Z95" s="125">
        <f>+Z91*Z93*Z59/1000</f>
        <v>2097.6719103426708</v>
      </c>
      <c r="AA95" s="125">
        <f>+AA91*AA93*AA59/1000</f>
        <v>2261.6025152687516</v>
      </c>
      <c r="AB95" s="114"/>
      <c r="AC95" s="125">
        <f>+AC91*AC93*AC59/1000</f>
        <v>2118.5002993770636</v>
      </c>
      <c r="AD95" s="125">
        <f>+AD91*AD93*AD59/1000</f>
        <v>2267.9804396647633</v>
      </c>
      <c r="AE95" s="125">
        <f>+AE91*AE93*AE59/1000</f>
        <v>2251.3909913879484</v>
      </c>
      <c r="AF95" s="125">
        <f>+AF91*AF93*AF59/1000</f>
        <v>2426.9507852297493</v>
      </c>
      <c r="AG95" s="114"/>
      <c r="AH95" s="125">
        <f>+AH91*AH93*AH59/1000</f>
        <v>2273.3777561350412</v>
      </c>
      <c r="AI95" s="125">
        <f>+AI91*AI93*AI59/1000</f>
        <v>2433.9890701363151</v>
      </c>
      <c r="AJ95" s="125">
        <f>+AJ91*AJ93*AJ59/1000</f>
        <v>2416.1341218426928</v>
      </c>
      <c r="AK95" s="125">
        <f>+AK91*AK93*AK59/1000</f>
        <v>2604.4754653548048</v>
      </c>
      <c r="AL95" s="114"/>
      <c r="AM95" s="125">
        <f>+AM91*AM93*AM59/1000</f>
        <v>2439.6895147983469</v>
      </c>
      <c r="AN95" s="125">
        <f>+AN91*AN93*AN59/1000</f>
        <v>2612.0804328911436</v>
      </c>
      <c r="AO95" s="125">
        <f>+AO91*AO93*AO59/1000</f>
        <v>2592.9020531018023</v>
      </c>
      <c r="AP95" s="125">
        <f>+AP91*AP93*AP59/1000</f>
        <v>2795.0146145172257</v>
      </c>
      <c r="AQ95" s="114"/>
    </row>
    <row r="96" spans="2:43" ht="17.25" outlineLevel="1" x14ac:dyDescent="0.4">
      <c r="B96" s="536" t="s">
        <v>147</v>
      </c>
      <c r="C96" s="537"/>
      <c r="D96" s="23"/>
      <c r="E96" s="23"/>
      <c r="F96" s="23"/>
      <c r="G96" s="23"/>
      <c r="H96" s="31"/>
      <c r="I96" s="23"/>
      <c r="J96" s="23"/>
      <c r="K96" s="23"/>
      <c r="L96" s="23"/>
      <c r="M96" s="31"/>
      <c r="N96" s="23"/>
      <c r="O96" s="23"/>
      <c r="P96" s="23"/>
      <c r="Q96" s="23"/>
      <c r="R96" s="27"/>
      <c r="S96" s="24"/>
      <c r="T96" s="24"/>
      <c r="U96" s="24"/>
      <c r="V96" s="24"/>
      <c r="W96" s="27"/>
      <c r="X96" s="24"/>
      <c r="Y96" s="24"/>
      <c r="Z96" s="24"/>
      <c r="AA96" s="24"/>
      <c r="AB96" s="27"/>
      <c r="AC96" s="24"/>
      <c r="AD96" s="24"/>
      <c r="AE96" s="24"/>
      <c r="AF96" s="24"/>
      <c r="AG96" s="27"/>
      <c r="AH96" s="24"/>
      <c r="AI96" s="24"/>
      <c r="AJ96" s="24"/>
      <c r="AK96" s="24"/>
      <c r="AL96" s="27"/>
      <c r="AM96" s="24"/>
      <c r="AN96" s="24"/>
      <c r="AO96" s="24"/>
      <c r="AP96" s="24"/>
      <c r="AQ96" s="27"/>
    </row>
    <row r="97" spans="2:43" outlineLevel="2" x14ac:dyDescent="0.25">
      <c r="B97" s="100" t="s">
        <v>336</v>
      </c>
      <c r="C97" s="288"/>
      <c r="D97" s="241">
        <v>176</v>
      </c>
      <c r="E97" s="241">
        <v>185.7</v>
      </c>
      <c r="F97" s="241">
        <v>179.2</v>
      </c>
      <c r="G97" s="241">
        <v>184.4</v>
      </c>
      <c r="H97" s="31"/>
      <c r="I97" s="241">
        <v>238</v>
      </c>
      <c r="J97" s="241">
        <v>259.39999999999998</v>
      </c>
      <c r="K97" s="241">
        <v>253.4</v>
      </c>
      <c r="L97" s="241">
        <v>265.499999</v>
      </c>
      <c r="M97" s="31"/>
      <c r="N97" s="241">
        <v>252.2</v>
      </c>
      <c r="O97" s="241">
        <v>276.5</v>
      </c>
      <c r="P97" s="241">
        <v>266.39999999999998</v>
      </c>
      <c r="Q97" s="241">
        <v>277</v>
      </c>
      <c r="R97" s="27"/>
      <c r="S97" s="101">
        <f>+N97*(1+S98)</f>
        <v>266.08373712559967</v>
      </c>
      <c r="T97" s="101">
        <f>+O97*(1+T98)</f>
        <v>291.40256576214057</v>
      </c>
      <c r="U97" s="101">
        <f>+P97*(1+U98)</f>
        <v>279.95739313629389</v>
      </c>
      <c r="V97" s="101">
        <f>+Q97*(1+V98)</f>
        <v>291.06836519476474</v>
      </c>
      <c r="W97" s="27"/>
      <c r="X97" s="101">
        <f>+S97*(1+X98)</f>
        <v>280.09484894466959</v>
      </c>
      <c r="Y97" s="101">
        <f>+T97*(1+Y98)</f>
        <v>306.57250087226146</v>
      </c>
      <c r="Z97" s="101">
        <f>+U97*(1+Z98)</f>
        <v>294.4028137404627</v>
      </c>
      <c r="AA97" s="101">
        <f>+V97*(1+AA98)</f>
        <v>306.13858131327612</v>
      </c>
      <c r="AB97" s="27"/>
      <c r="AC97" s="101">
        <f>+X97*(1+AC98)</f>
        <v>294.66603285302864</v>
      </c>
      <c r="AD97" s="101">
        <f>+Y97*(1+AD98)</f>
        <v>322.47248696651258</v>
      </c>
      <c r="AE97" s="101">
        <f>+Z97*(1+AE98)</f>
        <v>309.6573092487107</v>
      </c>
      <c r="AF97" s="101">
        <f>+AA97*(1+AF98)</f>
        <v>322.01772880427558</v>
      </c>
      <c r="AG97" s="27"/>
      <c r="AH97" s="101">
        <f>+AC97*(1+AH98)</f>
        <v>309.95700626061989</v>
      </c>
      <c r="AI97" s="101">
        <f>+AD97*(1+AI98)</f>
        <v>339.19594693320857</v>
      </c>
      <c r="AJ97" s="101">
        <f>+AE97*(1+AJ98)</f>
        <v>325.7158945614915</v>
      </c>
      <c r="AK97" s="101">
        <f>+AF97*(1+AK98)</f>
        <v>338.72087162638172</v>
      </c>
      <c r="AL97" s="27"/>
      <c r="AM97" s="101">
        <f>+AH97*(1+AM98)</f>
        <v>326.03464230852722</v>
      </c>
      <c r="AN97" s="101">
        <f>+AI97*(1+AN98)</f>
        <v>356.78835528936685</v>
      </c>
      <c r="AO97" s="101">
        <f>+AJ97*(1+AO98)</f>
        <v>342.60955997270378</v>
      </c>
      <c r="AP97" s="101">
        <f>+AK97*(1+AP98)</f>
        <v>356.28965308086458</v>
      </c>
      <c r="AQ97" s="27"/>
    </row>
    <row r="98" spans="2:43" outlineLevel="2" x14ac:dyDescent="0.25">
      <c r="B98" s="118" t="s">
        <v>172</v>
      </c>
      <c r="C98" s="288"/>
      <c r="D98" s="143">
        <f>+D97/169.5-1</f>
        <v>3.8348082595870192E-2</v>
      </c>
      <c r="E98" s="143">
        <f>+E97/179.5-1</f>
        <v>3.4540389972144814E-2</v>
      </c>
      <c r="F98" s="143">
        <f>+F97/175.4-1</f>
        <v>2.1664766248574496E-2</v>
      </c>
      <c r="G98" s="143">
        <f>+G97/178.4-1</f>
        <v>3.3632286995515681E-2</v>
      </c>
      <c r="H98" s="61"/>
      <c r="I98" s="143">
        <f>+I97/D97-1</f>
        <v>0.35227272727272729</v>
      </c>
      <c r="J98" s="143">
        <f>+J97/E97-1</f>
        <v>0.39687668282175559</v>
      </c>
      <c r="K98" s="143">
        <f>+K97/F97-1</f>
        <v>0.41406250000000022</v>
      </c>
      <c r="L98" s="143">
        <f>+L97/G97-1</f>
        <v>0.43980476681127989</v>
      </c>
      <c r="M98" s="61"/>
      <c r="N98" s="143">
        <f>+N97/I97-1</f>
        <v>5.9663865546218497E-2</v>
      </c>
      <c r="O98" s="143">
        <f>+O97/J97-1</f>
        <v>6.5921356977640899E-2</v>
      </c>
      <c r="P98" s="143">
        <f>+P97/K97-1</f>
        <v>5.1302288871349466E-2</v>
      </c>
      <c r="Q98" s="143">
        <f>+Q97/L97-1</f>
        <v>4.3314504871241111E-2</v>
      </c>
      <c r="R98" s="34"/>
      <c r="S98" s="154">
        <f>AVERAGE(Q98,P98,O98,N98)</f>
        <v>5.5050504066612493E-2</v>
      </c>
      <c r="T98" s="154">
        <f>AVERAGE(S98,Q98,P98,O98)</f>
        <v>5.3897163696710992E-2</v>
      </c>
      <c r="U98" s="154">
        <f>AVERAGE(T98,S98,Q98,P98)</f>
        <v>5.0891115376478516E-2</v>
      </c>
      <c r="V98" s="154">
        <f>AVERAGE(U98,T98,S98,Q98)</f>
        <v>5.0788322002760775E-2</v>
      </c>
      <c r="W98" s="34"/>
      <c r="X98" s="154">
        <f>AVERAGE(V98,U98,T98,S98)</f>
        <v>5.2656776285640694E-2</v>
      </c>
      <c r="Y98" s="154">
        <f>AVERAGE(X98,V98,U98,T98)</f>
        <v>5.2058344340397744E-2</v>
      </c>
      <c r="Z98" s="154">
        <f>AVERAGE(Y98,X98,V98,U98)</f>
        <v>5.1598639501319432E-2</v>
      </c>
      <c r="AA98" s="154">
        <f>AVERAGE(Z98,Y98,X98,V98)</f>
        <v>5.1775520532529665E-2</v>
      </c>
      <c r="AB98" s="34"/>
      <c r="AC98" s="154">
        <f>AVERAGE(AA98,Z98,Y98,X98)</f>
        <v>5.202232016497188E-2</v>
      </c>
      <c r="AD98" s="154">
        <f>AVERAGE(AC98,AA98,Z98,Y98)</f>
        <v>5.1863706134804677E-2</v>
      </c>
      <c r="AE98" s="154">
        <f>AVERAGE(AD98,AC98,AA98,Z98)</f>
        <v>5.181504658340641E-2</v>
      </c>
      <c r="AF98" s="154">
        <f>AVERAGE(AE98,AD98,AC98,AA98)</f>
        <v>5.1869148353928154E-2</v>
      </c>
      <c r="AG98" s="34"/>
      <c r="AH98" s="154">
        <f>AVERAGE(AF98,AE98,AD98,AC98)</f>
        <v>5.1892555309277777E-2</v>
      </c>
      <c r="AI98" s="154">
        <f>AVERAGE(AH98,AF98,AE98,AD98)</f>
        <v>5.1860114095354251E-2</v>
      </c>
      <c r="AJ98" s="154">
        <f>AVERAGE(AI98,AH98,AF98,AE98)</f>
        <v>5.1859216085491648E-2</v>
      </c>
      <c r="AK98" s="154">
        <f>AVERAGE(AJ98,AI98,AH98,AF98)</f>
        <v>5.1870258461012952E-2</v>
      </c>
      <c r="AL98" s="34"/>
      <c r="AM98" s="154">
        <f>AVERAGE(AK98,AJ98,AI98,AH98)</f>
        <v>5.1870535987784155E-2</v>
      </c>
      <c r="AN98" s="154">
        <f>AVERAGE(AM98,AK98,AJ98,AI98)</f>
        <v>5.1865031157410757E-2</v>
      </c>
      <c r="AO98" s="154">
        <f>AVERAGE(AN98,AM98,AK98,AJ98)</f>
        <v>5.186626042292488E-2</v>
      </c>
      <c r="AP98" s="154">
        <f>AVERAGE(AO98,AN98,AM98,AK98)</f>
        <v>5.1868021507283188E-2</v>
      </c>
      <c r="AQ98" s="34"/>
    </row>
    <row r="99" spans="2:43" outlineLevel="2" x14ac:dyDescent="0.25">
      <c r="B99" s="100" t="s">
        <v>148</v>
      </c>
      <c r="C99" s="288"/>
      <c r="D99" s="120">
        <v>50.18</v>
      </c>
      <c r="E99" s="120">
        <v>48.53</v>
      </c>
      <c r="F99" s="120">
        <v>48.36</v>
      </c>
      <c r="G99" s="120">
        <v>49.494</v>
      </c>
      <c r="H99" s="31"/>
      <c r="I99" s="120">
        <v>44.78</v>
      </c>
      <c r="J99" s="120">
        <v>43.8</v>
      </c>
      <c r="K99" s="120">
        <v>44.05</v>
      </c>
      <c r="L99" s="120">
        <v>44.884999899999997</v>
      </c>
      <c r="M99" s="31"/>
      <c r="N99" s="120">
        <v>46.95</v>
      </c>
      <c r="O99" s="120">
        <v>46.78</v>
      </c>
      <c r="P99" s="120">
        <v>48.01</v>
      </c>
      <c r="Q99" s="120">
        <v>48.72</v>
      </c>
      <c r="R99" s="27"/>
      <c r="S99" s="120">
        <f>+N99*(1+S100)</f>
        <v>50.375402506331355</v>
      </c>
      <c r="T99" s="120">
        <f>+O99*(1+T100)</f>
        <v>50.479519880678026</v>
      </c>
      <c r="U99" s="120">
        <f>+P99*(1+U100)</f>
        <v>51.939382079214916</v>
      </c>
      <c r="V99" s="120">
        <f>+Q99*(1+V100)</f>
        <v>52.609409371484766</v>
      </c>
      <c r="W99" s="27"/>
      <c r="X99" s="120">
        <f>+S99*(1+X100)</f>
        <v>54.326330785190471</v>
      </c>
      <c r="Y99" s="120">
        <f>+T99*(1+Y100)</f>
        <v>54.507659835635621</v>
      </c>
      <c r="Z99" s="120">
        <f>+U99*(1+Z100)</f>
        <v>56.093288436013715</v>
      </c>
      <c r="AA99" s="120">
        <f>+V99*(1+AA100)</f>
        <v>56.792319711827375</v>
      </c>
      <c r="AB99" s="27"/>
      <c r="AC99" s="120">
        <f>+X99*(1+AC100)</f>
        <v>58.641363305402031</v>
      </c>
      <c r="AD99" s="120">
        <f>+Y99*(1+AD100)</f>
        <v>58.850698736543073</v>
      </c>
      <c r="AE99" s="120">
        <f>+Z99*(1+AE100)</f>
        <v>60.560984715641183</v>
      </c>
      <c r="AF99" s="120">
        <f>+AA99*(1+AF100)</f>
        <v>61.311028994353507</v>
      </c>
      <c r="AG99" s="27"/>
      <c r="AH99" s="120">
        <f>+AC99*(1+AH100)</f>
        <v>63.308024084145224</v>
      </c>
      <c r="AI99" s="120">
        <f>+AD99*(1+AI100)</f>
        <v>63.536249748166341</v>
      </c>
      <c r="AJ99" s="120">
        <f>+AE99*(1+AJ100)</f>
        <v>65.381796239846338</v>
      </c>
      <c r="AK99" s="120">
        <f>+AF99*(1+AK100)</f>
        <v>66.190856028783827</v>
      </c>
      <c r="AL99" s="27"/>
      <c r="AM99" s="120">
        <f>+AH99*(1+AM100)</f>
        <v>68.347203635615514</v>
      </c>
      <c r="AN99" s="120">
        <f>+AI99*(1+AN100)</f>
        <v>68.593883448170487</v>
      </c>
      <c r="AO99" s="120">
        <f>+AJ99*(1+AO100)</f>
        <v>70.586090302979954</v>
      </c>
      <c r="AP99" s="120">
        <f>+AK99*(1+AP100)</f>
        <v>71.45948258536545</v>
      </c>
      <c r="AQ99" s="27"/>
    </row>
    <row r="100" spans="2:43" outlineLevel="2" x14ac:dyDescent="0.25">
      <c r="B100" s="118" t="s">
        <v>171</v>
      </c>
      <c r="C100" s="288"/>
      <c r="D100" s="143">
        <f>+D99/52.6-1</f>
        <v>-4.600760456273767E-2</v>
      </c>
      <c r="E100" s="143">
        <f>+E99/52.88-1</f>
        <v>-8.2261724659606683E-2</v>
      </c>
      <c r="F100" s="143">
        <f>+F99/50.6-1</f>
        <v>-4.426877470355739E-2</v>
      </c>
      <c r="G100" s="143">
        <f>+G99/50.1-1</f>
        <v>-1.2095808383233542E-2</v>
      </c>
      <c r="H100" s="61"/>
      <c r="I100" s="143">
        <f>+I99/D99-1</f>
        <v>-0.10761259465922679</v>
      </c>
      <c r="J100" s="143">
        <f>+J99/E99-1</f>
        <v>-9.7465485266845286E-2</v>
      </c>
      <c r="K100" s="143">
        <f>+K99/F99-1</f>
        <v>-8.9123242349048892E-2</v>
      </c>
      <c r="L100" s="143">
        <f>+L99/G99-1</f>
        <v>-9.3122400695033747E-2</v>
      </c>
      <c r="M100" s="61"/>
      <c r="N100" s="143">
        <f>+N99/I99-1</f>
        <v>4.845913354175968E-2</v>
      </c>
      <c r="O100" s="143">
        <f>+O99/J99-1</f>
        <v>6.8036529680365332E-2</v>
      </c>
      <c r="P100" s="143">
        <f>+P99/K99-1</f>
        <v>8.9897843359818319E-2</v>
      </c>
      <c r="Q100" s="143">
        <f>+Q99/L99-1</f>
        <v>8.5440572764711176E-2</v>
      </c>
      <c r="R100" s="34"/>
      <c r="S100" s="154">
        <f>AVERAGE(Q100,P100,O100,N100)</f>
        <v>7.2958519836663627E-2</v>
      </c>
      <c r="T100" s="154">
        <f>AVERAGE(S100,Q100,P100,O100)</f>
        <v>7.9083366410389613E-2</v>
      </c>
      <c r="U100" s="154">
        <f>AVERAGE(T100,S100,Q100,P100)</f>
        <v>8.184507559289568E-2</v>
      </c>
      <c r="V100" s="154">
        <f>AVERAGE(U100,T100,S100,Q100)</f>
        <v>7.9831883651165031E-2</v>
      </c>
      <c r="W100" s="34"/>
      <c r="X100" s="154">
        <f>AVERAGE(V100,U100,T100,S100)</f>
        <v>7.8429711372778488E-2</v>
      </c>
      <c r="Y100" s="154">
        <f>AVERAGE(X100,V100,U100,T100)</f>
        <v>7.9797509256807203E-2</v>
      </c>
      <c r="Z100" s="154">
        <f>AVERAGE(Y100,X100,V100,U100)</f>
        <v>7.9976044968411597E-2</v>
      </c>
      <c r="AA100" s="154">
        <f>AVERAGE(Z100,Y100,X100,V100)</f>
        <v>7.950878731229058E-2</v>
      </c>
      <c r="AB100" s="34"/>
      <c r="AC100" s="154">
        <f>AVERAGE(AA100,Z100,Y100,X100)</f>
        <v>7.9428013227571967E-2</v>
      </c>
      <c r="AD100" s="154">
        <f>AVERAGE(AC100,AA100,Z100,Y100)</f>
        <v>7.967758869127034E-2</v>
      </c>
      <c r="AE100" s="154">
        <f>AVERAGE(AD100,AC100,AA100,Z100)</f>
        <v>7.9647608549886117E-2</v>
      </c>
      <c r="AF100" s="154">
        <f>AVERAGE(AE100,AD100,AC100,AA100)</f>
        <v>7.9565499445254761E-2</v>
      </c>
      <c r="AG100" s="34"/>
      <c r="AH100" s="154">
        <f>AVERAGE(AF100,AE100,AD100,AC100)</f>
        <v>7.95796774784958E-2</v>
      </c>
      <c r="AI100" s="154">
        <f>AVERAGE(AH100,AF100,AE100,AD100)</f>
        <v>7.9617593541226758E-2</v>
      </c>
      <c r="AJ100" s="154">
        <f>AVERAGE(AI100,AH100,AF100,AE100)</f>
        <v>7.9602594753715866E-2</v>
      </c>
      <c r="AK100" s="154">
        <f>AVERAGE(AJ100,AI100,AH100,AF100)</f>
        <v>7.9591341304673296E-2</v>
      </c>
      <c r="AL100" s="34"/>
      <c r="AM100" s="154">
        <f>AVERAGE(AK100,AJ100,AI100,AH100)</f>
        <v>7.9597801769527937E-2</v>
      </c>
      <c r="AN100" s="154">
        <f>AVERAGE(AM100,AK100,AJ100,AI100)</f>
        <v>7.9602332842285961E-2</v>
      </c>
      <c r="AO100" s="154">
        <f>AVERAGE(AN100,AM100,AK100,AJ100)</f>
        <v>7.9598517667550772E-2</v>
      </c>
      <c r="AP100" s="154">
        <f>AVERAGE(AO100,AN100,AM100,AK100)</f>
        <v>7.9597498396009492E-2</v>
      </c>
      <c r="AQ100" s="34"/>
    </row>
    <row r="101" spans="2:43" outlineLevel="2" x14ac:dyDescent="0.25">
      <c r="B101" s="96" t="s">
        <v>149</v>
      </c>
      <c r="C101" s="97"/>
      <c r="D101" s="121">
        <f>+D97*D99*D59/1000</f>
        <v>574.05920000000003</v>
      </c>
      <c r="E101" s="121">
        <f>+E97*E99*E59/1000</f>
        <v>567.75732299999993</v>
      </c>
      <c r="F101" s="121">
        <f>+F97*F99*F59/1000</f>
        <v>545.965056</v>
      </c>
      <c r="G101" s="121">
        <f>+G97*G99*G59/1000</f>
        <v>593.23508400000003</v>
      </c>
      <c r="H101" s="33"/>
      <c r="I101" s="121">
        <f>+I97*I99*I59/1000</f>
        <v>692.74659999999994</v>
      </c>
      <c r="J101" s="121">
        <f>+J97*J99*J59/1000</f>
        <v>715.7883599999999</v>
      </c>
      <c r="K101" s="121">
        <f>+K97*K99*K59/1000</f>
        <v>692.06074000000001</v>
      </c>
      <c r="L101" s="121">
        <f>+L97*L99*L59/1000</f>
        <v>774.60288285672505</v>
      </c>
      <c r="M101" s="33"/>
      <c r="N101" s="121">
        <f>+N97*N99*N59/1000</f>
        <v>769.65135000000009</v>
      </c>
      <c r="O101" s="121">
        <f>+O97*O99*O59/1000</f>
        <v>814.88420999999994</v>
      </c>
      <c r="P101" s="121">
        <f>+P97*P99*P59/1000</f>
        <v>792.97156799999982</v>
      </c>
      <c r="Q101" s="121">
        <f>+Q97*Q99*Q59/1000</f>
        <v>877.20359999999994</v>
      </c>
      <c r="R101" s="33"/>
      <c r="S101" s="121">
        <f>+S97*S99*S59/1000</f>
        <v>871.26489827591161</v>
      </c>
      <c r="T101" s="121">
        <f>+T97*T99*T59/1000</f>
        <v>926.72128153524534</v>
      </c>
      <c r="U101" s="121">
        <f>+U97*U99*U59/1000</f>
        <v>901.53046849643079</v>
      </c>
      <c r="V101" s="121">
        <f>+V97*V99*V59/1000</f>
        <v>995.34076067531339</v>
      </c>
      <c r="W101" s="28"/>
      <c r="X101" s="121">
        <f>+X97*X99*X59/1000</f>
        <v>989.07415197474506</v>
      </c>
      <c r="Y101" s="121">
        <f>+Y97*Y99*Y59/1000</f>
        <v>1052.7646243278359</v>
      </c>
      <c r="Z101" s="121">
        <f>+Z97*Z99*Z59/1000</f>
        <v>1023.8693607461032</v>
      </c>
      <c r="AA101" s="121">
        <f>+AA97*AA99*AA59/1000</f>
        <v>1130.1108120944743</v>
      </c>
      <c r="AB101" s="28"/>
      <c r="AC101" s="121">
        <f>+AC97*AC99*AC59/1000</f>
        <v>1123.1751626092389</v>
      </c>
      <c r="AD101" s="121">
        <f>+AD97*AD99*AD59/1000</f>
        <v>1195.5970644212728</v>
      </c>
      <c r="AE101" s="121">
        <f>+AE97*AE99*AE59/1000</f>
        <v>1162.6953974948599</v>
      </c>
      <c r="AF101" s="121">
        <f>+AF97*AF99*AF59/1000</f>
        <v>1283.3104899819623</v>
      </c>
      <c r="AG101" s="28"/>
      <c r="AH101" s="121">
        <f>+AH97*AH99*AH59/1000</f>
        <v>1275.479765130797</v>
      </c>
      <c r="AI101" s="121">
        <f>+AI97*AI99*AI59/1000</f>
        <v>1357.7280190685892</v>
      </c>
      <c r="AJ101" s="121">
        <f>+AJ97*AJ99*AJ59/1000</f>
        <v>1320.3451955185201</v>
      </c>
      <c r="AK101" s="121">
        <f>+AK97*AK99*AK59/1000</f>
        <v>1457.3145891047902</v>
      </c>
      <c r="AL101" s="28"/>
      <c r="AM101" s="121">
        <f>+AM97*AM99*AM59/1000</f>
        <v>1448.4311458581883</v>
      </c>
      <c r="AN101" s="121">
        <f>+AN97*AN99*AN59/1000</f>
        <v>1541.8304280781463</v>
      </c>
      <c r="AO101" s="121">
        <f>+AO97*AO99*AO59/1000</f>
        <v>1499.3750990116448</v>
      </c>
      <c r="AP101" s="121">
        <f>+AP97*AP99*AP59/1000</f>
        <v>1654.9178268790658</v>
      </c>
      <c r="AQ101" s="28"/>
    </row>
    <row r="102" spans="2:43" ht="17.25" outlineLevel="1" x14ac:dyDescent="0.4">
      <c r="B102" s="557" t="s">
        <v>150</v>
      </c>
      <c r="C102" s="558"/>
      <c r="D102" s="103"/>
      <c r="E102" s="103"/>
      <c r="F102" s="103"/>
      <c r="G102" s="103"/>
      <c r="H102" s="113"/>
      <c r="I102" s="103"/>
      <c r="J102" s="103"/>
      <c r="K102" s="103"/>
      <c r="L102" s="103"/>
      <c r="M102" s="113"/>
      <c r="N102" s="103"/>
      <c r="O102" s="103"/>
      <c r="P102" s="103"/>
      <c r="Q102" s="103"/>
      <c r="R102" s="113"/>
      <c r="S102" s="103"/>
      <c r="T102" s="103"/>
      <c r="U102" s="103"/>
      <c r="V102" s="103"/>
      <c r="W102" s="113"/>
      <c r="X102" s="103"/>
      <c r="Y102" s="103"/>
      <c r="Z102" s="103"/>
      <c r="AA102" s="103"/>
      <c r="AB102" s="113"/>
      <c r="AC102" s="103"/>
      <c r="AD102" s="103"/>
      <c r="AE102" s="103"/>
      <c r="AF102" s="103"/>
      <c r="AG102" s="113"/>
      <c r="AH102" s="103"/>
      <c r="AI102" s="103"/>
      <c r="AJ102" s="103"/>
      <c r="AK102" s="103"/>
      <c r="AL102" s="113"/>
      <c r="AM102" s="103"/>
      <c r="AN102" s="103"/>
      <c r="AO102" s="103"/>
      <c r="AP102" s="103"/>
      <c r="AQ102" s="113"/>
    </row>
    <row r="103" spans="2:43" outlineLevel="2" x14ac:dyDescent="0.25">
      <c r="B103" s="104" t="s">
        <v>337</v>
      </c>
      <c r="C103" s="105"/>
      <c r="D103" s="106">
        <v>855</v>
      </c>
      <c r="E103" s="106">
        <v>954</v>
      </c>
      <c r="F103" s="106">
        <v>878</v>
      </c>
      <c r="G103" s="106">
        <v>868.5</v>
      </c>
      <c r="H103" s="113"/>
      <c r="I103" s="106">
        <v>2172</v>
      </c>
      <c r="J103" s="106">
        <v>2536</v>
      </c>
      <c r="K103" s="106">
        <v>2471</v>
      </c>
      <c r="L103" s="106">
        <v>2404.5990000000002</v>
      </c>
      <c r="M103" s="113"/>
      <c r="N103" s="106">
        <v>2238.1999999999998</v>
      </c>
      <c r="O103" s="106">
        <v>2662.5</v>
      </c>
      <c r="P103" s="106">
        <v>2445</v>
      </c>
      <c r="Q103" s="106">
        <v>2377</v>
      </c>
      <c r="R103" s="113"/>
      <c r="S103" s="106">
        <f>+N103*(1+S104)</f>
        <v>2270.8558301703069</v>
      </c>
      <c r="T103" s="106">
        <f>+O103*(1+T104)</f>
        <v>2690.7706101203935</v>
      </c>
      <c r="U103" s="106">
        <f>+P103*(1+U104)</f>
        <v>2446.9612837512964</v>
      </c>
      <c r="V103" s="106">
        <f>+Q103*(1+V104)</f>
        <v>2385.6361526880005</v>
      </c>
      <c r="W103" s="113"/>
      <c r="X103" s="106">
        <f>+S103*(1+X104)</f>
        <v>2287.6849529603119</v>
      </c>
      <c r="Y103" s="106">
        <f>+T103*(1+Y104)</f>
        <v>2705.8822215646105</v>
      </c>
      <c r="Z103" s="106">
        <f>+U103*(1+Z104)</f>
        <v>2457.6437277225155</v>
      </c>
      <c r="AA103" s="106">
        <f>+V103*(1+AA104)</f>
        <v>2398.1761406352371</v>
      </c>
      <c r="AB103" s="113"/>
      <c r="AC103" s="106">
        <f>+X103*(1+AC104)</f>
        <v>2300.6384298867956</v>
      </c>
      <c r="AD103" s="106">
        <f>+Y103*(1+AD104)</f>
        <v>2720.0207303174689</v>
      </c>
      <c r="AE103" s="106">
        <f>+Z103*(1+AE104)</f>
        <v>2470.2449371232674</v>
      </c>
      <c r="AF103" s="106">
        <f>+AA103*(1+AF104)</f>
        <v>2410.9291462344459</v>
      </c>
      <c r="AG103" s="113"/>
      <c r="AH103" s="106">
        <f>+AC103*(1+AH104)</f>
        <v>2312.90802980443</v>
      </c>
      <c r="AI103" s="106">
        <f>+AD103*(1+AI104)</f>
        <v>2734.3031356377983</v>
      </c>
      <c r="AJ103" s="106">
        <f>+AE103*(1+AJ104)</f>
        <v>2483.23170650981</v>
      </c>
      <c r="AK103" s="106">
        <f>+AF103*(1+AK104)</f>
        <v>2423.6823865126007</v>
      </c>
      <c r="AL103" s="113"/>
      <c r="AM103" s="106">
        <f>+AH103*(1+AM104)</f>
        <v>2325.1265528896633</v>
      </c>
      <c r="AN103" s="106">
        <f>+AI103*(1+AN104)</f>
        <v>2748.7133502457878</v>
      </c>
      <c r="AO103" s="106">
        <f>+AJ103*(1+AO104)</f>
        <v>2496.3307258059654</v>
      </c>
      <c r="AP103" s="106">
        <f>+AK103*(1+AP104)</f>
        <v>2436.4780138873321</v>
      </c>
      <c r="AQ103" s="113"/>
    </row>
    <row r="104" spans="2:43" outlineLevel="2" x14ac:dyDescent="0.25">
      <c r="B104" s="122" t="s">
        <v>172</v>
      </c>
      <c r="C104" s="105"/>
      <c r="D104" s="123">
        <f>+D103/816-1</f>
        <v>4.7794117647058876E-2</v>
      </c>
      <c r="E104" s="123">
        <f>+E103/917-1</f>
        <v>4.0348964013086075E-2</v>
      </c>
      <c r="F104" s="123">
        <f>+F103/830.5-1</f>
        <v>5.7194461167971111E-2</v>
      </c>
      <c r="G104" s="123">
        <f>+G103/850-1</f>
        <v>2.1764705882352908E-2</v>
      </c>
      <c r="H104" s="124"/>
      <c r="I104" s="123">
        <f>+I103/D103-1</f>
        <v>1.5403508771929824</v>
      </c>
      <c r="J104" s="123">
        <f>+J103/E103-1</f>
        <v>1.658280922431866</v>
      </c>
      <c r="K104" s="123">
        <f>+K103/F103-1</f>
        <v>1.8143507972665147</v>
      </c>
      <c r="L104" s="123">
        <f>+L103/G103-1</f>
        <v>1.768680483592401</v>
      </c>
      <c r="M104" s="124"/>
      <c r="N104" s="123">
        <f>+N103/I103-1</f>
        <v>3.0478821362799113E-2</v>
      </c>
      <c r="O104" s="123">
        <f>+O103/J103-1</f>
        <v>4.9881703470031624E-2</v>
      </c>
      <c r="P104" s="123">
        <f>+P103/K103-1</f>
        <v>-1.0522055847834832E-2</v>
      </c>
      <c r="Q104" s="123">
        <f>+Q103/L103-1</f>
        <v>-1.1477589402640542E-2</v>
      </c>
      <c r="R104" s="124"/>
      <c r="S104" s="154">
        <f>AVERAGE(Q104,P104,O104,N104)</f>
        <v>1.4590219895588841E-2</v>
      </c>
      <c r="T104" s="154">
        <f>AVERAGE(S104,Q104,P104,O104)</f>
        <v>1.0618069528786273E-2</v>
      </c>
      <c r="U104" s="154">
        <f>AVERAGE(T104,S104,Q104,P104)</f>
        <v>8.0216104347493461E-4</v>
      </c>
      <c r="V104" s="154">
        <f>AVERAGE(U104,T104,S104,Q104)</f>
        <v>3.6332152663023764E-3</v>
      </c>
      <c r="W104" s="124"/>
      <c r="X104" s="154">
        <f>AVERAGE(V104,U104,T104,S104)</f>
        <v>7.4109164335381065E-3</v>
      </c>
      <c r="Y104" s="154">
        <f>AVERAGE(X104,V104,U104,T104)</f>
        <v>5.6160905680254225E-3</v>
      </c>
      <c r="Z104" s="154">
        <f>AVERAGE(Y104,X104,V104,U104)</f>
        <v>4.36559582783521E-3</v>
      </c>
      <c r="AA104" s="154">
        <f>AVERAGE(Z104,Y104,X104,V104)</f>
        <v>5.2564545239252788E-3</v>
      </c>
      <c r="AB104" s="124"/>
      <c r="AC104" s="154">
        <f>AVERAGE(AA104,Z104,Y104,X104)</f>
        <v>5.662264338331004E-3</v>
      </c>
      <c r="AD104" s="154">
        <f>AVERAGE(AC104,AA104,Z104,Y104)</f>
        <v>5.2251013145292284E-3</v>
      </c>
      <c r="AE104" s="154">
        <f>AVERAGE(AD104,AC104,AA104,Z104)</f>
        <v>5.1273540011551808E-3</v>
      </c>
      <c r="AF104" s="154">
        <f>AVERAGE(AE104,AD104,AC104,AA104)</f>
        <v>5.3177935444851734E-3</v>
      </c>
      <c r="AG104" s="124"/>
      <c r="AH104" s="154">
        <f>AVERAGE(AF104,AE104,AD104,AC104)</f>
        <v>5.3331282996251471E-3</v>
      </c>
      <c r="AI104" s="154">
        <f>AVERAGE(AH104,AF104,AE104,AD104)</f>
        <v>5.2508442899486824E-3</v>
      </c>
      <c r="AJ104" s="154">
        <f>AVERAGE(AI104,AH104,AF104,AE104)</f>
        <v>5.2572800338035464E-3</v>
      </c>
      <c r="AK104" s="154">
        <f>AVERAGE(AJ104,AI104,AH104,AF104)</f>
        <v>5.2897615419656378E-3</v>
      </c>
      <c r="AL104" s="124"/>
      <c r="AM104" s="154">
        <f>AVERAGE(AK104,AJ104,AI104,AH104)</f>
        <v>5.2827535413357534E-3</v>
      </c>
      <c r="AN104" s="154">
        <f>AVERAGE(AM104,AK104,AJ104,AI104)</f>
        <v>5.2701598517634046E-3</v>
      </c>
      <c r="AO104" s="154">
        <f>AVERAGE(AN104,AM104,AK104,AJ104)</f>
        <v>5.274988742217086E-3</v>
      </c>
      <c r="AP104" s="154">
        <f>AVERAGE(AO104,AN104,AM104,AK104)</f>
        <v>5.2794159193204696E-3</v>
      </c>
      <c r="AQ104" s="124"/>
    </row>
    <row r="105" spans="2:43" outlineLevel="2" x14ac:dyDescent="0.25">
      <c r="B105" s="104" t="s">
        <v>151</v>
      </c>
      <c r="C105" s="105"/>
      <c r="D105" s="107">
        <v>5.88</v>
      </c>
      <c r="E105" s="107">
        <v>5.59</v>
      </c>
      <c r="F105" s="107">
        <v>5.47</v>
      </c>
      <c r="G105" s="107">
        <v>5.6550000000000002</v>
      </c>
      <c r="H105" s="113"/>
      <c r="I105" s="107">
        <v>7.19</v>
      </c>
      <c r="J105" s="107">
        <v>6.81</v>
      </c>
      <c r="K105" s="107">
        <v>6.74</v>
      </c>
      <c r="L105" s="107">
        <v>6.9759900000000004</v>
      </c>
      <c r="M105" s="113"/>
      <c r="N105" s="107">
        <v>7.18</v>
      </c>
      <c r="O105" s="107">
        <v>7.24</v>
      </c>
      <c r="P105" s="107">
        <v>7.44</v>
      </c>
      <c r="Q105" s="107">
        <v>7.77</v>
      </c>
      <c r="R105" s="113"/>
      <c r="S105" s="107">
        <f>+N105*(1+S106)</f>
        <v>7.6815761100271915</v>
      </c>
      <c r="T105" s="107">
        <f>+O105*(1+T106)</f>
        <v>7.874726827561771</v>
      </c>
      <c r="U105" s="107">
        <f>+P105*(1+U106)</f>
        <v>8.1378809633616811</v>
      </c>
      <c r="V105" s="107">
        <f>+Q105*(1+V106)</f>
        <v>8.4793008777205419</v>
      </c>
      <c r="W105" s="113"/>
      <c r="X105" s="107">
        <f>+S105*(1+X106)</f>
        <v>8.3395322309724307</v>
      </c>
      <c r="Y105" s="107">
        <f>+T105*(1+Y106)</f>
        <v>8.5803251134830756</v>
      </c>
      <c r="Z105" s="107">
        <f>+U105*(1+Z106)</f>
        <v>8.8709921450503835</v>
      </c>
      <c r="AA105" s="107">
        <f>+V105*(1+AA106)</f>
        <v>9.2352942452275304</v>
      </c>
      <c r="AB105" s="113"/>
      <c r="AC105" s="107">
        <f>+X105*(1+AC106)</f>
        <v>9.0786242015133816</v>
      </c>
      <c r="AD105" s="107">
        <f>+Y105*(1+AD106)</f>
        <v>9.3471311013713088</v>
      </c>
      <c r="AE105" s="107">
        <f>+Z105*(1+AE106)</f>
        <v>9.6632533880173916</v>
      </c>
      <c r="AF105" s="107">
        <f>+AA105*(1+AF106)</f>
        <v>10.058296954617882</v>
      </c>
      <c r="AG105" s="113"/>
      <c r="AH105" s="107">
        <f>+AC105*(1+AH106)</f>
        <v>9.8875686500171724</v>
      </c>
      <c r="AI105" s="107">
        <f>+AD105*(1+AI106)</f>
        <v>10.181120427882842</v>
      </c>
      <c r="AJ105" s="107">
        <f>+AE105*(1+AJ106)</f>
        <v>10.525100938392562</v>
      </c>
      <c r="AK105" s="107">
        <f>+AF105*(1+AK106)</f>
        <v>10.955073268945855</v>
      </c>
      <c r="AL105" s="113"/>
      <c r="AM105" s="107">
        <f>+AH105*(1+AM106)</f>
        <v>10.769229302068238</v>
      </c>
      <c r="AN105" s="107">
        <f>+AI105*(1+AN106)</f>
        <v>11.089120343630253</v>
      </c>
      <c r="AO105" s="107">
        <f>+AJ105*(1+AO106)</f>
        <v>11.463674915386944</v>
      </c>
      <c r="AP105" s="107">
        <f>+AK105*(1+AP106)</f>
        <v>11.931953482261161</v>
      </c>
      <c r="AQ105" s="113"/>
    </row>
    <row r="106" spans="2:43" outlineLevel="2" x14ac:dyDescent="0.25">
      <c r="B106" s="122" t="s">
        <v>171</v>
      </c>
      <c r="C106" s="105"/>
      <c r="D106" s="123">
        <f>+D105/7.1-1</f>
        <v>-0.17183098591549295</v>
      </c>
      <c r="E106" s="123">
        <f>+E105/6.63-1</f>
        <v>-0.15686274509803921</v>
      </c>
      <c r="F106" s="123">
        <f>+F105/6.28-1</f>
        <v>-0.12898089171974525</v>
      </c>
      <c r="G106" s="123">
        <f>+G105/5.96-1</f>
        <v>-5.1174496644295298E-2</v>
      </c>
      <c r="H106" s="124"/>
      <c r="I106" s="123">
        <f>+I105/D105-1</f>
        <v>0.2227891156462587</v>
      </c>
      <c r="J106" s="123">
        <f>+J105/E105-1</f>
        <v>0.21824686940965998</v>
      </c>
      <c r="K106" s="123">
        <f>+K105/F105-1</f>
        <v>0.23217550274223053</v>
      </c>
      <c r="L106" s="123">
        <f>+L105/G105-1</f>
        <v>0.23359681697612733</v>
      </c>
      <c r="M106" s="124"/>
      <c r="N106" s="123">
        <f>+N105/I105-1</f>
        <v>-1.3908205841447474E-3</v>
      </c>
      <c r="O106" s="123">
        <f>+O105/J105-1</f>
        <v>6.3142437591776845E-2</v>
      </c>
      <c r="P106" s="123">
        <f>+P105/K105-1</f>
        <v>0.10385756676557856</v>
      </c>
      <c r="Q106" s="123">
        <f>+Q105/L105-1</f>
        <v>0.11382040398567073</v>
      </c>
      <c r="R106" s="124"/>
      <c r="S106" s="154">
        <f>AVERAGE(Q106,P106,O106,N106)</f>
        <v>6.9857396939720345E-2</v>
      </c>
      <c r="T106" s="154">
        <f>AVERAGE(S106,Q106,P106,O106)</f>
        <v>8.7669451320686625E-2</v>
      </c>
      <c r="U106" s="154">
        <f>AVERAGE(T106,S106,Q106,P106)</f>
        <v>9.3801204752914064E-2</v>
      </c>
      <c r="V106" s="154">
        <f>AVERAGE(U106,T106,S106,Q106)</f>
        <v>9.1287114249747947E-2</v>
      </c>
      <c r="W106" s="124"/>
      <c r="X106" s="154">
        <f>AVERAGE(V106,U106,T106,S106)</f>
        <v>8.5653791815767238E-2</v>
      </c>
      <c r="Y106" s="154">
        <f>AVERAGE(X106,V106,U106,T106)</f>
        <v>8.9602890534778962E-2</v>
      </c>
      <c r="Z106" s="154">
        <f>AVERAGE(Y106,X106,V106,U106)</f>
        <v>9.008625033830206E-2</v>
      </c>
      <c r="AA106" s="154">
        <f>AVERAGE(Z106,Y106,X106,V106)</f>
        <v>8.9157511734649045E-2</v>
      </c>
      <c r="AB106" s="124"/>
      <c r="AC106" s="154">
        <f>AVERAGE(AA106,Z106,Y106,X106)</f>
        <v>8.8625111105874343E-2</v>
      </c>
      <c r="AD106" s="154">
        <f>AVERAGE(AC106,AA106,Z106,Y106)</f>
        <v>8.9367940928401113E-2</v>
      </c>
      <c r="AE106" s="154">
        <f>AVERAGE(AD106,AC106,AA106,Z106)</f>
        <v>8.930920352680663E-2</v>
      </c>
      <c r="AF106" s="154">
        <f>AVERAGE(AE106,AD106,AC106,AA106)</f>
        <v>8.9114941823932786E-2</v>
      </c>
      <c r="AG106" s="124"/>
      <c r="AH106" s="154">
        <f>AVERAGE(AF106,AE106,AD106,AC106)</f>
        <v>8.9104299346253718E-2</v>
      </c>
      <c r="AI106" s="154">
        <f>AVERAGE(AH106,AF106,AE106,AD106)</f>
        <v>8.9224096406348555E-2</v>
      </c>
      <c r="AJ106" s="154">
        <f>AVERAGE(AI106,AH106,AF106,AE106)</f>
        <v>8.9188135275835412E-2</v>
      </c>
      <c r="AK106" s="154">
        <f>AVERAGE(AJ106,AI106,AH106,AF106)</f>
        <v>8.91578682130926E-2</v>
      </c>
      <c r="AL106" s="124"/>
      <c r="AM106" s="154">
        <f>AVERAGE(AK106,AJ106,AI106,AH106)</f>
        <v>8.9168599810382582E-2</v>
      </c>
      <c r="AN106" s="154">
        <f>AVERAGE(AM106,AK106,AJ106,AI106)</f>
        <v>8.9184674926414784E-2</v>
      </c>
      <c r="AO106" s="154">
        <f>AVERAGE(AN106,AM106,AK106,AJ106)</f>
        <v>8.9174819556431348E-2</v>
      </c>
      <c r="AP106" s="154">
        <f>AVERAGE(AO106,AN106,AM106,AK106)</f>
        <v>8.9171490626580335E-2</v>
      </c>
      <c r="AQ106" s="124"/>
    </row>
    <row r="107" spans="2:43" ht="15.75" outlineLevel="2" thickBot="1" x14ac:dyDescent="0.3">
      <c r="B107" s="112" t="s">
        <v>152</v>
      </c>
      <c r="C107" s="111"/>
      <c r="D107" s="126">
        <f>+D103*D105*D59/1000</f>
        <v>326.78100000000001</v>
      </c>
      <c r="E107" s="126">
        <f>+E103*E105*E59/1000</f>
        <v>335.97017999999997</v>
      </c>
      <c r="F107" s="126">
        <f>+F103*F105*F59/1000</f>
        <v>302.56758000000002</v>
      </c>
      <c r="G107" s="126">
        <f>+G103*G105*G59/1000</f>
        <v>319.23888750000003</v>
      </c>
      <c r="H107" s="115"/>
      <c r="I107" s="126">
        <f>+I103*I105*I59/1000</f>
        <v>1015.0842000000001</v>
      </c>
      <c r="J107" s="126">
        <f>+J103*J105*J59/1000</f>
        <v>1088.02008</v>
      </c>
      <c r="K107" s="126">
        <f>+K103*K105*K59/1000</f>
        <v>1032.5814800000001</v>
      </c>
      <c r="L107" s="126">
        <f>+L103*L105*L59/1000</f>
        <v>1090.3398075706502</v>
      </c>
      <c r="M107" s="115"/>
      <c r="N107" s="126">
        <f>+N103*N105*N59/1000</f>
        <v>1044.5679399999999</v>
      </c>
      <c r="O107" s="126">
        <f>+O103*O105*O59/1000</f>
        <v>1214.4195</v>
      </c>
      <c r="P107" s="126">
        <f>+P103*P105*P59/1000</f>
        <v>1127.8295999999998</v>
      </c>
      <c r="Q107" s="126">
        <f>+Q103*Q105*Q59/1000</f>
        <v>1200.5038499999998</v>
      </c>
      <c r="R107" s="115"/>
      <c r="S107" s="126">
        <f>+S103*S105*S59/1000</f>
        <v>1133.8438731328927</v>
      </c>
      <c r="T107" s="126">
        <f>+T103*T105*T59/1000</f>
        <v>1334.9122611507785</v>
      </c>
      <c r="U107" s="126">
        <f>+U103*U105*U59/1000</f>
        <v>1234.6109382456095</v>
      </c>
      <c r="V107" s="126">
        <f>+V103*V105*V59/1000</f>
        <v>1314.8542370215994</v>
      </c>
      <c r="W107" s="115"/>
      <c r="X107" s="126">
        <f>+X103*X105*X59/1000</f>
        <v>1240.0844559690061</v>
      </c>
      <c r="Y107" s="126">
        <f>+Y103*Y105*Y59/1000</f>
        <v>1462.6929983285468</v>
      </c>
      <c r="Z107" s="126">
        <f>+Z103*Z105*Z59/1000</f>
        <v>1351.7077686454445</v>
      </c>
      <c r="AA107" s="126">
        <f>+AA103*AA105*AA59/1000</f>
        <v>1439.6110501922872</v>
      </c>
      <c r="AB107" s="115"/>
      <c r="AC107" s="126">
        <f>+AC103*AC105*AC59/1000</f>
        <v>1357.6310623526306</v>
      </c>
      <c r="AD107" s="126">
        <f>+AD103*AD105*AD59/1000</f>
        <v>1601.7365929776822</v>
      </c>
      <c r="AE107" s="126">
        <f>+AE103*AE105*AE59/1000</f>
        <v>1479.9773709891317</v>
      </c>
      <c r="AF107" s="126">
        <f>+AF103*AF105*AF59/1000</f>
        <v>1576.2396838090121</v>
      </c>
      <c r="AG107" s="115"/>
      <c r="AH107" s="126">
        <f>+AH103*AH105*AH59/1000</f>
        <v>1486.4874001813721</v>
      </c>
      <c r="AI107" s="126">
        <f>+AI103*AI105*AI59/1000</f>
        <v>1753.8109791467641</v>
      </c>
      <c r="AJ107" s="126">
        <f>+AJ103*AJ105*AJ59/1000</f>
        <v>1620.4483905948191</v>
      </c>
      <c r="AK107" s="126">
        <f>+AK103*AK105*AK59/1000</f>
        <v>1725.8551781184406</v>
      </c>
      <c r="AL107" s="115"/>
      <c r="AM107" s="126">
        <f>+AM103*AM105*AM59/1000</f>
        <v>1627.5883652857581</v>
      </c>
      <c r="AN107" s="126">
        <f>+AN103*AN105*AN59/1000</f>
        <v>1920.2912272541739</v>
      </c>
      <c r="AO107" s="126">
        <f>+AO103*AO105*AO59/1000</f>
        <v>1774.2616831597547</v>
      </c>
      <c r="AP107" s="126">
        <f>+AP103*AP105*AP59/1000</f>
        <v>1889.6762509466212</v>
      </c>
      <c r="AQ107" s="115"/>
    </row>
    <row r="108" spans="2:43" ht="17.25" outlineLevel="1" x14ac:dyDescent="0.4">
      <c r="B108" s="559" t="s">
        <v>153</v>
      </c>
      <c r="C108" s="560"/>
      <c r="D108" s="245"/>
      <c r="E108" s="245"/>
      <c r="F108" s="245"/>
      <c r="G108" s="245"/>
      <c r="H108" s="31"/>
      <c r="I108" s="245"/>
      <c r="J108" s="245"/>
      <c r="K108" s="245"/>
      <c r="L108" s="245"/>
      <c r="M108" s="31"/>
      <c r="N108" s="245"/>
      <c r="O108" s="245"/>
      <c r="P108" s="245"/>
      <c r="Q108" s="245"/>
      <c r="R108" s="27"/>
      <c r="S108" s="110"/>
      <c r="T108" s="110"/>
      <c r="U108" s="110"/>
      <c r="V108" s="110"/>
      <c r="W108" s="27"/>
      <c r="X108" s="110"/>
      <c r="Y108" s="110"/>
      <c r="Z108" s="110"/>
      <c r="AA108" s="110"/>
      <c r="AB108" s="27"/>
      <c r="AC108" s="110"/>
      <c r="AD108" s="110"/>
      <c r="AE108" s="110"/>
      <c r="AF108" s="110"/>
      <c r="AG108" s="27"/>
      <c r="AH108" s="110"/>
      <c r="AI108" s="110"/>
      <c r="AJ108" s="110"/>
      <c r="AK108" s="110"/>
      <c r="AL108" s="27"/>
      <c r="AM108" s="110"/>
      <c r="AN108" s="110"/>
      <c r="AO108" s="110"/>
      <c r="AP108" s="110"/>
      <c r="AQ108" s="27"/>
    </row>
    <row r="109" spans="2:43" outlineLevel="2" x14ac:dyDescent="0.25">
      <c r="B109" s="100" t="s">
        <v>338</v>
      </c>
      <c r="C109" s="288"/>
      <c r="D109" s="241">
        <v>7277.5</v>
      </c>
      <c r="E109" s="241">
        <v>8212.5</v>
      </c>
      <c r="F109" s="241">
        <v>8340.4</v>
      </c>
      <c r="G109" s="241">
        <v>8885.4</v>
      </c>
      <c r="H109" s="31"/>
      <c r="I109" s="241">
        <v>8066.5</v>
      </c>
      <c r="J109" s="241">
        <v>8177.4</v>
      </c>
      <c r="K109" s="241">
        <v>8458.4</v>
      </c>
      <c r="L109" s="241">
        <v>8045.4</v>
      </c>
      <c r="M109" s="31"/>
      <c r="N109" s="241">
        <v>7727</v>
      </c>
      <c r="O109" s="241">
        <v>8474.5</v>
      </c>
      <c r="P109" s="241">
        <v>8757.4</v>
      </c>
      <c r="Q109" s="241">
        <v>8512</v>
      </c>
      <c r="R109" s="27"/>
      <c r="S109" s="101">
        <f>+N109*(1+S110)</f>
        <v>7896.2011006058829</v>
      </c>
      <c r="T109" s="101">
        <f>+O109*(1+T110)</f>
        <v>8795.6296856150075</v>
      </c>
      <c r="U109" s="101">
        <f>+P109*(1+U110)</f>
        <v>9092.6691298535334</v>
      </c>
      <c r="V109" s="101">
        <f>+Q109*(1+V110)</f>
        <v>8844.1190833392029</v>
      </c>
      <c r="W109" s="27"/>
      <c r="X109" s="101">
        <f>+S109*(1+X110)</f>
        <v>8166.8293259386792</v>
      </c>
      <c r="Y109" s="101">
        <f>+T109*(1+Y110)</f>
        <v>9124.2975334654911</v>
      </c>
      <c r="Z109" s="101">
        <f>+U109*(1+Z110)</f>
        <v>9431.2397547526216</v>
      </c>
      <c r="AA109" s="101">
        <f>+V109*(1+AA110)</f>
        <v>9171.1164664600365</v>
      </c>
      <c r="AB109" s="27"/>
      <c r="AC109" s="101">
        <f>+X109*(1+AC110)</f>
        <v>8464.6110762544067</v>
      </c>
      <c r="AD109" s="101">
        <f>+Y109*(1+AD110)</f>
        <v>9461.9843811051433</v>
      </c>
      <c r="AE109" s="101">
        <f>+Z109*(1+AE110)</f>
        <v>9779.4433852831626</v>
      </c>
      <c r="AF109" s="101">
        <f>+AA109*(1+AF110)</f>
        <v>9508.9933231463692</v>
      </c>
      <c r="AG109" s="27"/>
      <c r="AH109" s="101">
        <f>+AC109*(1+AH110)</f>
        <v>8776.1799112104545</v>
      </c>
      <c r="AI109" s="101">
        <f>+AD109*(1+AI110)</f>
        <v>9811.0835405486123</v>
      </c>
      <c r="AJ109" s="101">
        <f>+AE109*(1+AJ110)</f>
        <v>10139.974727603405</v>
      </c>
      <c r="AK109" s="101">
        <f>+AF109*(1+AK110)</f>
        <v>9859.4258259746766</v>
      </c>
      <c r="AL109" s="27"/>
      <c r="AM109" s="101">
        <f>+AH109*(1+AM110)</f>
        <v>9099.6310984732736</v>
      </c>
      <c r="AN109" s="101">
        <f>+AI109*(1+AN110)</f>
        <v>10172.792404732154</v>
      </c>
      <c r="AO109" s="101">
        <f>+AJ109*(1+AO110)</f>
        <v>10513.739110099641</v>
      </c>
      <c r="AP109" s="101">
        <f>+AK109*(1+AP110)</f>
        <v>10222.834844886796</v>
      </c>
      <c r="AQ109" s="27"/>
    </row>
    <row r="110" spans="2:43" outlineLevel="2" x14ac:dyDescent="0.25">
      <c r="B110" s="118" t="s">
        <v>172</v>
      </c>
      <c r="C110" s="288"/>
      <c r="D110" s="143">
        <f>+D109/7318-1</f>
        <v>-5.5342989887947613E-3</v>
      </c>
      <c r="E110" s="143">
        <f>+E109/8039-1</f>
        <v>2.1582286354024038E-2</v>
      </c>
      <c r="F110" s="143">
        <f>+F109/8145-1</f>
        <v>2.3990178023327147E-2</v>
      </c>
      <c r="G110" s="143">
        <f>+G109/7836-1</f>
        <v>0.13392036753445624</v>
      </c>
      <c r="H110" s="61"/>
      <c r="I110" s="143">
        <f>+I109/D109-1</f>
        <v>0.10841635176915143</v>
      </c>
      <c r="J110" s="143">
        <f>+J109/E109-1</f>
        <v>-4.2739726027397618E-3</v>
      </c>
      <c r="K110" s="143">
        <f>+K109/F109-1</f>
        <v>1.4148002493885148E-2</v>
      </c>
      <c r="L110" s="143">
        <f>+L109/G109-1</f>
        <v>-9.4537105814031963E-2</v>
      </c>
      <c r="M110" s="61"/>
      <c r="N110" s="143">
        <f>+N109/I109-1</f>
        <v>-4.2087646438976001E-2</v>
      </c>
      <c r="O110" s="143">
        <f>+O109/J109-1</f>
        <v>3.6331841416587185E-2</v>
      </c>
      <c r="P110" s="143">
        <f>+P109/K109-1</f>
        <v>3.5349475078028991E-2</v>
      </c>
      <c r="Q110" s="143">
        <f>+Q109/L109-1</f>
        <v>5.7995873418350996E-2</v>
      </c>
      <c r="R110" s="34"/>
      <c r="S110" s="154">
        <f>AVERAGE(Q110,P110,O110,N110)</f>
        <v>2.1897385868497793E-2</v>
      </c>
      <c r="T110" s="154">
        <f>AVERAGE(S110,Q110,P110,O110)</f>
        <v>3.7893643945366241E-2</v>
      </c>
      <c r="U110" s="154">
        <f>AVERAGE(T110,S110,Q110,P110)</f>
        <v>3.8284094577561004E-2</v>
      </c>
      <c r="V110" s="154">
        <f>AVERAGE(U110,T110,S110,Q110)</f>
        <v>3.901774945244401E-2</v>
      </c>
      <c r="W110" s="34"/>
      <c r="X110" s="154">
        <f>AVERAGE(V110,U110,T110,S110)</f>
        <v>3.4273218460967259E-2</v>
      </c>
      <c r="Y110" s="154">
        <f>AVERAGE(X110,V110,U110,T110)</f>
        <v>3.7367176609084632E-2</v>
      </c>
      <c r="Z110" s="154">
        <f>AVERAGE(Y110,X110,V110,U110)</f>
        <v>3.7235559775014221E-2</v>
      </c>
      <c r="AA110" s="154">
        <f>AVERAGE(Z110,Y110,X110,V110)</f>
        <v>3.6973426074377529E-2</v>
      </c>
      <c r="AB110" s="34"/>
      <c r="AC110" s="154">
        <f>AVERAGE(AA110,Z110,Y110,X110)</f>
        <v>3.6462345229860915E-2</v>
      </c>
      <c r="AD110" s="154">
        <f>AVERAGE(AC110,AA110,Z110,Y110)</f>
        <v>3.7009626922084329E-2</v>
      </c>
      <c r="AE110" s="154">
        <f>AVERAGE(AD110,AC110,AA110,Z110)</f>
        <v>3.6920239500334247E-2</v>
      </c>
      <c r="AF110" s="154">
        <f>AVERAGE(AE110,AD110,AC110,AA110)</f>
        <v>3.6841409431664258E-2</v>
      </c>
      <c r="AG110" s="34"/>
      <c r="AH110" s="154">
        <f>AVERAGE(AF110,AE110,AD110,AC110)</f>
        <v>3.6808405270985937E-2</v>
      </c>
      <c r="AI110" s="154">
        <f>AVERAGE(AH110,AF110,AE110,AD110)</f>
        <v>3.6894920281267188E-2</v>
      </c>
      <c r="AJ110" s="154">
        <f>AVERAGE(AI110,AH110,AF110,AE110)</f>
        <v>3.6866243621062902E-2</v>
      </c>
      <c r="AK110" s="154">
        <f>AVERAGE(AJ110,AI110,AH110,AF110)</f>
        <v>3.6852744651245072E-2</v>
      </c>
      <c r="AL110" s="34"/>
      <c r="AM110" s="154">
        <f>AVERAGE(AK110,AJ110,AI110,AH110)</f>
        <v>3.6855578456140271E-2</v>
      </c>
      <c r="AN110" s="154">
        <f>AVERAGE(AM110,AK110,AJ110,AI110)</f>
        <v>3.6867371752428858E-2</v>
      </c>
      <c r="AO110" s="154">
        <f>AVERAGE(AN110,AM110,AK110,AJ110)</f>
        <v>3.6860484620219278E-2</v>
      </c>
      <c r="AP110" s="154">
        <f>AVERAGE(AO110,AN110,AM110,AK110)</f>
        <v>3.6859044870008371E-2</v>
      </c>
      <c r="AQ110" s="34"/>
    </row>
    <row r="111" spans="2:43" outlineLevel="2" x14ac:dyDescent="0.25">
      <c r="B111" s="100" t="s">
        <v>154</v>
      </c>
      <c r="C111" s="288"/>
      <c r="D111" s="120">
        <v>1.212</v>
      </c>
      <c r="E111" s="120">
        <v>1.1180000000000001</v>
      </c>
      <c r="F111" s="120">
        <v>1.232</v>
      </c>
      <c r="G111" s="120">
        <v>1.1830000000000001</v>
      </c>
      <c r="H111" s="31"/>
      <c r="I111" s="120">
        <v>1.175</v>
      </c>
      <c r="J111" s="120">
        <v>1.19</v>
      </c>
      <c r="K111" s="120">
        <v>1.272</v>
      </c>
      <c r="L111" s="120">
        <v>1.21</v>
      </c>
      <c r="M111" s="31"/>
      <c r="N111" s="120">
        <v>1.22</v>
      </c>
      <c r="O111" s="120">
        <v>1.2889999999999999</v>
      </c>
      <c r="P111" s="120">
        <v>1.361</v>
      </c>
      <c r="Q111" s="120">
        <v>1.367</v>
      </c>
      <c r="R111" s="27"/>
      <c r="S111" s="120">
        <f>+N111*(1+S112)</f>
        <v>1.3179695896139823</v>
      </c>
      <c r="T111" s="120">
        <f>+O111*(1+T112)</f>
        <v>1.4060466264297151</v>
      </c>
      <c r="U111" s="120">
        <f>+P111*(1+U112)</f>
        <v>1.4871741493139283</v>
      </c>
      <c r="V111" s="120">
        <f>+Q111*(1+V112)</f>
        <v>1.5015012355696558</v>
      </c>
      <c r="W111" s="27"/>
      <c r="X111" s="120">
        <f>+S111*(1+X112)</f>
        <v>1.4373135927451719</v>
      </c>
      <c r="Y111" s="120">
        <f>+T111*(1+Y112)</f>
        <v>1.5369685847743355</v>
      </c>
      <c r="Z111" s="120">
        <f>+U111*(1+Z112)</f>
        <v>1.6265087659637985</v>
      </c>
      <c r="AA111" s="120">
        <f>+V111*(1+AA112)</f>
        <v>1.6425475052369389</v>
      </c>
      <c r="AB111" s="27"/>
      <c r="AC111" s="120">
        <f>+X111*(1+AC112)</f>
        <v>1.5707295754690644</v>
      </c>
      <c r="AD111" s="120">
        <f>+Y111*(1+AD112)</f>
        <v>1.6805077590028867</v>
      </c>
      <c r="AE111" s="120">
        <f>+Z111*(1+AE112)</f>
        <v>1.7785230615069028</v>
      </c>
      <c r="AF111" s="120">
        <f>+AA111*(1+AF112)</f>
        <v>1.7959661902948272</v>
      </c>
      <c r="AG111" s="27"/>
      <c r="AH111" s="120">
        <f>+AC111*(1+AH112)</f>
        <v>1.7172305888336894</v>
      </c>
      <c r="AI111" s="120">
        <f>+AD111*(1+AI112)</f>
        <v>1.8374351999307896</v>
      </c>
      <c r="AJ111" s="120">
        <f>+AE111*(1+AJ112)</f>
        <v>1.9445987647890532</v>
      </c>
      <c r="AK111" s="120">
        <f>+AF111*(1+AK112)</f>
        <v>1.9636338674364711</v>
      </c>
      <c r="AL111" s="27"/>
      <c r="AM111" s="120">
        <f>+AH111*(1+AM112)</f>
        <v>1.8775283695396776</v>
      </c>
      <c r="AN111" s="120">
        <f>+AI111*(1+AN112)</f>
        <v>2.0089891809994085</v>
      </c>
      <c r="AO111" s="120">
        <f>+AJ111*(1+AO112)</f>
        <v>2.1261509046631817</v>
      </c>
      <c r="AP111" s="120">
        <f>+AK111*(1+AP112)</f>
        <v>2.1469552273427972</v>
      </c>
      <c r="AQ111" s="27"/>
    </row>
    <row r="112" spans="2:43" outlineLevel="2" x14ac:dyDescent="0.25">
      <c r="B112" s="118" t="s">
        <v>171</v>
      </c>
      <c r="C112" s="288"/>
      <c r="D112" s="143">
        <f>+D111/1.24-1</f>
        <v>-2.2580645161290325E-2</v>
      </c>
      <c r="E112" s="143">
        <f>+E111/1.16-1</f>
        <v>-3.6206896551723933E-2</v>
      </c>
      <c r="F112" s="143">
        <f>+F111/1.13-1</f>
        <v>9.0265486725663813E-2</v>
      </c>
      <c r="G112" s="143">
        <f>+G111/1.11-1</f>
        <v>6.576576576576576E-2</v>
      </c>
      <c r="H112" s="61"/>
      <c r="I112" s="143">
        <f>+I111/D111-1</f>
        <v>-3.0528052805280481E-2</v>
      </c>
      <c r="J112" s="143">
        <f>+J111/E111-1</f>
        <v>6.4400715563506017E-2</v>
      </c>
      <c r="K112" s="143">
        <f>+K111/F111-1</f>
        <v>3.2467532467532534E-2</v>
      </c>
      <c r="L112" s="143">
        <f>+L111/G111-1</f>
        <v>2.2823330515638229E-2</v>
      </c>
      <c r="M112" s="61"/>
      <c r="N112" s="143">
        <f>+N111/I111-1</f>
        <v>3.8297872340425476E-2</v>
      </c>
      <c r="O112" s="143">
        <f>+O111/J111-1</f>
        <v>8.3193277310924296E-2</v>
      </c>
      <c r="P112" s="143">
        <f>+P111/K111-1</f>
        <v>6.9968553459119454E-2</v>
      </c>
      <c r="Q112" s="143">
        <f>+Q111/L111-1</f>
        <v>0.12975206611570256</v>
      </c>
      <c r="R112" s="34"/>
      <c r="S112" s="154">
        <f>AVERAGE(Q112,P112,O112,N112)</f>
        <v>8.0302942306542946E-2</v>
      </c>
      <c r="T112" s="154">
        <f>AVERAGE(S112,Q112,P112,O112)</f>
        <v>9.0804209798072313E-2</v>
      </c>
      <c r="U112" s="154">
        <f>AVERAGE(T112,S112,Q112,P112)</f>
        <v>9.2706942919859314E-2</v>
      </c>
      <c r="V112" s="154">
        <f>AVERAGE(U112,T112,S112,Q112)</f>
        <v>9.8391540285044279E-2</v>
      </c>
      <c r="W112" s="34"/>
      <c r="X112" s="154">
        <f>AVERAGE(V112,U112,T112,S112)</f>
        <v>9.0551408827379706E-2</v>
      </c>
      <c r="Y112" s="154">
        <f>AVERAGE(X112,V112,U112,T112)</f>
        <v>9.31135254575889E-2</v>
      </c>
      <c r="Z112" s="154">
        <f>AVERAGE(Y112,X112,V112,U112)</f>
        <v>9.3690854372468046E-2</v>
      </c>
      <c r="AA112" s="154">
        <f>AVERAGE(Z112,Y112,X112,V112)</f>
        <v>9.393683223562023E-2</v>
      </c>
      <c r="AB112" s="34"/>
      <c r="AC112" s="154">
        <f>AVERAGE(AA112,Z112,Y112,X112)</f>
        <v>9.2823155223264217E-2</v>
      </c>
      <c r="AD112" s="154">
        <f>AVERAGE(AC112,AA112,Z112,Y112)</f>
        <v>9.3391091822235345E-2</v>
      </c>
      <c r="AE112" s="154">
        <f>AVERAGE(AD112,AC112,AA112,Z112)</f>
        <v>9.3460483413396953E-2</v>
      </c>
      <c r="AF112" s="154">
        <f>AVERAGE(AE112,AD112,AC112,AA112)</f>
        <v>9.3402890673629183E-2</v>
      </c>
      <c r="AG112" s="34"/>
      <c r="AH112" s="154">
        <f>AVERAGE(AF112,AE112,AD112,AC112)</f>
        <v>9.3269405283131435E-2</v>
      </c>
      <c r="AI112" s="154">
        <f>AVERAGE(AH112,AF112,AE112,AD112)</f>
        <v>9.3380967798098236E-2</v>
      </c>
      <c r="AJ112" s="154">
        <f>AVERAGE(AI112,AH112,AF112,AE112)</f>
        <v>9.3378436792063951E-2</v>
      </c>
      <c r="AK112" s="154">
        <f>AVERAGE(AJ112,AI112,AH112,AF112)</f>
        <v>9.3357925136730691E-2</v>
      </c>
      <c r="AL112" s="34"/>
      <c r="AM112" s="154">
        <f>AVERAGE(AK112,AJ112,AI112,AH112)</f>
        <v>9.3346683752506071E-2</v>
      </c>
      <c r="AN112" s="154">
        <f>AVERAGE(AM112,AK112,AJ112,AI112)</f>
        <v>9.3366003369849737E-2</v>
      </c>
      <c r="AO112" s="154">
        <f>AVERAGE(AN112,AM112,AK112,AJ112)</f>
        <v>9.3362262262787599E-2</v>
      </c>
      <c r="AP112" s="154">
        <f>AVERAGE(AO112,AN112,AM112,AK112)</f>
        <v>9.3358218630468531E-2</v>
      </c>
      <c r="AQ112" s="34"/>
    </row>
    <row r="113" spans="2:43" outlineLevel="2" x14ac:dyDescent="0.25">
      <c r="B113" s="96" t="s">
        <v>155</v>
      </c>
      <c r="C113" s="97"/>
      <c r="D113" s="121">
        <f>+D109*D111*D59/1000</f>
        <v>573.32144999999991</v>
      </c>
      <c r="E113" s="121">
        <f>+E109*E111*E59/1000</f>
        <v>578.43922500000008</v>
      </c>
      <c r="F113" s="121">
        <f>+F109*F111*F59/1000</f>
        <v>647.34848639999996</v>
      </c>
      <c r="G113" s="121">
        <f>+G109*G111*G59/1000</f>
        <v>683.24283300000002</v>
      </c>
      <c r="H113" s="33"/>
      <c r="I113" s="121">
        <f>+I109*I111*I59/1000</f>
        <v>616.07893750000005</v>
      </c>
      <c r="J113" s="121">
        <f>+J109*J111*J59/1000</f>
        <v>613.05967799999996</v>
      </c>
      <c r="K113" s="121">
        <f>+K109*K111*K59/1000</f>
        <v>667.06325760000004</v>
      </c>
      <c r="L113" s="121">
        <f>+L109*L111*L59/1000</f>
        <v>632.77071000000001</v>
      </c>
      <c r="M113" s="33"/>
      <c r="N113" s="121">
        <f>+N109*N111*N59/1000</f>
        <v>612.75109999999995</v>
      </c>
      <c r="O113" s="121">
        <f>+O109*O111*O59/1000</f>
        <v>688.18872149999993</v>
      </c>
      <c r="P113" s="121">
        <f>+P109*P111*P59/1000</f>
        <v>738.9669267999999</v>
      </c>
      <c r="Q113" s="121">
        <f>+Q109*Q111*Q59/1000</f>
        <v>756.33375999999998</v>
      </c>
      <c r="R113" s="28"/>
      <c r="S113" s="121">
        <f>+S109*S111*S59/1000</f>
        <v>676.45194006487566</v>
      </c>
      <c r="T113" s="121">
        <f>+T109*T111*T59/1000</f>
        <v>779.12512314739445</v>
      </c>
      <c r="U113" s="121">
        <f>+U109*U111*U59/1000</f>
        <v>838.38771364734259</v>
      </c>
      <c r="V113" s="121">
        <f>+V109*V111*V59/1000</f>
        <v>863.16462252533404</v>
      </c>
      <c r="W113" s="28"/>
      <c r="X113" s="121">
        <f>+X109*X111*X59/1000</f>
        <v>762.98916198710094</v>
      </c>
      <c r="Y113" s="121">
        <f>+Y109*Y111*Y59/1000</f>
        <v>883.49679602543631</v>
      </c>
      <c r="Z113" s="121">
        <f>+Z109*Z111*Z59/1000</f>
        <v>951.07963637070702</v>
      </c>
      <c r="AA113" s="121">
        <f>+AA109*AA111*AA59/1000</f>
        <v>979.15964069438735</v>
      </c>
      <c r="AB113" s="28"/>
      <c r="AC113" s="121">
        <f>+AC109*AC111*AC59/1000</f>
        <v>864.21497255052861</v>
      </c>
      <c r="AD113" s="121">
        <f>+AD109*AD111*AD59/1000</f>
        <v>1001.7591045847131</v>
      </c>
      <c r="AE113" s="121">
        <f>+AE109*AE111*AE59/1000</f>
        <v>1078.3638665444889</v>
      </c>
      <c r="AF113" s="121">
        <f>+AF109*AF111*AF59/1000</f>
        <v>1110.0589832871588</v>
      </c>
      <c r="AG113" s="28"/>
      <c r="AH113" s="121">
        <f>+AH109*AH111*AH59/1000</f>
        <v>979.59709878149113</v>
      </c>
      <c r="AI113" s="121">
        <f>+AI109*AI111*AI59/1000</f>
        <v>1135.7155055525341</v>
      </c>
      <c r="AJ113" s="121">
        <f>+AJ109*AJ111*AJ59/1000</f>
        <v>1222.5273044779674</v>
      </c>
      <c r="AK113" s="121">
        <f>+AK109*AK111*AK59/1000</f>
        <v>1258.4196602485092</v>
      </c>
      <c r="AL113" s="28"/>
      <c r="AM113" s="121">
        <f>+AM109*AM111*AM59/1000</f>
        <v>1110.5130100823897</v>
      </c>
      <c r="AN113" s="121">
        <f>+AN109*AN111*AN59/1000</f>
        <v>1287.5328825445706</v>
      </c>
      <c r="AO113" s="121">
        <f>+AO109*AO111*AO59/1000</f>
        <v>1385.9353470605238</v>
      </c>
      <c r="AP113" s="121">
        <f>+AP109*AP111*AP59/1000</f>
        <v>1426.6179660519672</v>
      </c>
      <c r="AQ113" s="28"/>
    </row>
    <row r="114" spans="2:43" ht="17.25" outlineLevel="1" x14ac:dyDescent="0.4">
      <c r="B114" s="557" t="s">
        <v>156</v>
      </c>
      <c r="C114" s="558"/>
      <c r="D114" s="103"/>
      <c r="E114" s="103"/>
      <c r="F114" s="103"/>
      <c r="G114" s="103"/>
      <c r="H114" s="113"/>
      <c r="I114" s="103"/>
      <c r="J114" s="103"/>
      <c r="K114" s="103"/>
      <c r="L114" s="103"/>
      <c r="M114" s="113"/>
      <c r="N114" s="103"/>
      <c r="O114" s="103"/>
      <c r="P114" s="103"/>
      <c r="Q114" s="103"/>
      <c r="R114" s="113"/>
      <c r="S114" s="103"/>
      <c r="T114" s="103"/>
      <c r="U114" s="103"/>
      <c r="V114" s="103"/>
      <c r="W114" s="113"/>
      <c r="X114" s="103"/>
      <c r="Y114" s="103"/>
      <c r="Z114" s="103"/>
      <c r="AA114" s="103"/>
      <c r="AB114" s="113"/>
      <c r="AC114" s="103"/>
      <c r="AD114" s="103"/>
      <c r="AE114" s="103"/>
      <c r="AF114" s="103"/>
      <c r="AG114" s="113"/>
      <c r="AH114" s="103"/>
      <c r="AI114" s="103"/>
      <c r="AJ114" s="103"/>
      <c r="AK114" s="103"/>
      <c r="AL114" s="113"/>
      <c r="AM114" s="103"/>
      <c r="AN114" s="103"/>
      <c r="AO114" s="103"/>
      <c r="AP114" s="103"/>
      <c r="AQ114" s="113"/>
    </row>
    <row r="115" spans="2:43" outlineLevel="2" x14ac:dyDescent="0.25">
      <c r="B115" s="104" t="s">
        <v>339</v>
      </c>
      <c r="C115" s="105"/>
      <c r="D115" s="106">
        <v>1701.4</v>
      </c>
      <c r="E115" s="106">
        <v>1762.5</v>
      </c>
      <c r="F115" s="106">
        <v>1621</v>
      </c>
      <c r="G115" s="106">
        <v>1722</v>
      </c>
      <c r="H115" s="113"/>
      <c r="I115" s="106">
        <v>4793</v>
      </c>
      <c r="J115" s="106">
        <v>5417.4</v>
      </c>
      <c r="K115" s="106">
        <v>5238</v>
      </c>
      <c r="L115" s="106">
        <v>5409.4</v>
      </c>
      <c r="M115" s="113"/>
      <c r="N115" s="106">
        <v>4905.5</v>
      </c>
      <c r="O115" s="106">
        <v>5706</v>
      </c>
      <c r="P115" s="106">
        <v>5430</v>
      </c>
      <c r="Q115" s="106">
        <v>5515</v>
      </c>
      <c r="R115" s="113"/>
      <c r="S115" s="106">
        <f>+N115*(1+S116)</f>
        <v>5068.5113626721595</v>
      </c>
      <c r="T115" s="106">
        <f>+O115*(1+T116)</f>
        <v>5909.5328757012321</v>
      </c>
      <c r="U115" s="106">
        <f>+P115*(1+U116)</f>
        <v>5599.7921440700238</v>
      </c>
      <c r="V115" s="106">
        <f>+Q115*(1+V116)</f>
        <v>5680.0241667560103</v>
      </c>
      <c r="W115" s="113"/>
      <c r="X115" s="106">
        <f>+S115*(1+X116)</f>
        <v>5233.3550116375709</v>
      </c>
      <c r="Y115" s="106">
        <f>+T115*(1+Y116)</f>
        <v>6100.6842838580033</v>
      </c>
      <c r="Z115" s="106">
        <f>+U115*(1+Z116)</f>
        <v>5776.2715924810727</v>
      </c>
      <c r="AA115" s="106">
        <f>+V115*(1+AA116)</f>
        <v>5859.3815989111717</v>
      </c>
      <c r="AB115" s="113"/>
      <c r="AC115" s="106">
        <f>+X115*(1+AC116)</f>
        <v>5400.772138877348</v>
      </c>
      <c r="AD115" s="106">
        <f>+Y115*(1+AD116)</f>
        <v>6295.035181981375</v>
      </c>
      <c r="AE115" s="106">
        <f>+Z115*(1+AE116)</f>
        <v>5959.5813779369118</v>
      </c>
      <c r="AF115" s="106">
        <f>+AA115*(1+AF116)</f>
        <v>6045.6505716309521</v>
      </c>
      <c r="AG115" s="113"/>
      <c r="AH115" s="106">
        <f>+AC115*(1+AH116)</f>
        <v>5572.7495553174995</v>
      </c>
      <c r="AI115" s="106">
        <f>+AD115*(1+AI116)</f>
        <v>6495.2569298680464</v>
      </c>
      <c r="AJ115" s="106">
        <f>+AE115*(1+AJ116)</f>
        <v>6149.0576967353163</v>
      </c>
      <c r="AK115" s="106">
        <f>+AF115*(1+AK116)</f>
        <v>6237.9518983307298</v>
      </c>
      <c r="AL115" s="113"/>
      <c r="AM115" s="106">
        <f>+AH115*(1+AM116)</f>
        <v>5750.0343003726848</v>
      </c>
      <c r="AN115" s="106">
        <f>+AI115*(1+AN116)</f>
        <v>6701.839979103047</v>
      </c>
      <c r="AO115" s="106">
        <f>+AJ115*(1+AO116)</f>
        <v>6344.6281453482043</v>
      </c>
      <c r="AP115" s="106">
        <f>+AK115*(1+AP116)</f>
        <v>6436.3673759248559</v>
      </c>
      <c r="AQ115" s="113"/>
    </row>
    <row r="116" spans="2:43" outlineLevel="2" x14ac:dyDescent="0.25">
      <c r="B116" s="122" t="s">
        <v>172</v>
      </c>
      <c r="C116" s="105"/>
      <c r="D116" s="123">
        <f>+D115/1733-1</f>
        <v>-1.8234275822273438E-2</v>
      </c>
      <c r="E116" s="123">
        <f>+E115/1922-1</f>
        <v>-8.29864724245577E-2</v>
      </c>
      <c r="F116" s="123">
        <f>+F115/1875-1</f>
        <v>-0.13546666666666662</v>
      </c>
      <c r="G116" s="123">
        <f>+G115/1989-1</f>
        <v>-0.13423831070889891</v>
      </c>
      <c r="H116" s="124"/>
      <c r="I116" s="123">
        <f>+I115/D115-1</f>
        <v>1.8170918067473845</v>
      </c>
      <c r="J116" s="123">
        <f>+J115/E115-1</f>
        <v>2.0737021276595744</v>
      </c>
      <c r="K116" s="123">
        <f>+K115/F115-1</f>
        <v>2.231338679827267</v>
      </c>
      <c r="L116" s="123">
        <f>+L115/G115-1</f>
        <v>2.141347270615563</v>
      </c>
      <c r="M116" s="124"/>
      <c r="N116" s="123">
        <f>+N115/I115-1</f>
        <v>2.3471729605675007E-2</v>
      </c>
      <c r="O116" s="123">
        <f>+O115/J115-1</f>
        <v>5.3272787684129019E-2</v>
      </c>
      <c r="P116" s="123">
        <f>+P115/K115-1</f>
        <v>3.6655211912943964E-2</v>
      </c>
      <c r="Q116" s="123">
        <f>+Q115/L115-1</f>
        <v>1.9521573557141236E-2</v>
      </c>
      <c r="R116" s="124"/>
      <c r="S116" s="154">
        <f>AVERAGE(Q116,P116,O116,N116)</f>
        <v>3.3230325689972307E-2</v>
      </c>
      <c r="T116" s="154">
        <f>AVERAGE(S116,Q116,P116,O116)</f>
        <v>3.5669974711046631E-2</v>
      </c>
      <c r="U116" s="154">
        <f>AVERAGE(T116,S116,Q116,P116)</f>
        <v>3.1269271467776034E-2</v>
      </c>
      <c r="V116" s="154">
        <f>AVERAGE(U116,T116,S116,Q116)</f>
        <v>2.992278635648405E-2</v>
      </c>
      <c r="W116" s="124"/>
      <c r="X116" s="154">
        <f>AVERAGE(V116,U116,T116,S116)</f>
        <v>3.2523089556319759E-2</v>
      </c>
      <c r="Y116" s="154">
        <f>AVERAGE(X116,V116,U116,T116)</f>
        <v>3.2346280522906619E-2</v>
      </c>
      <c r="Z116" s="154">
        <f>AVERAGE(Y116,X116,V116,U116)</f>
        <v>3.1515356975871614E-2</v>
      </c>
      <c r="AA116" s="154">
        <f>AVERAGE(Z116,Y116,X116,V116)</f>
        <v>3.1576878352895514E-2</v>
      </c>
      <c r="AB116" s="124"/>
      <c r="AC116" s="154">
        <f>AVERAGE(AA116,Z116,Y116,X116)</f>
        <v>3.1990401351998377E-2</v>
      </c>
      <c r="AD116" s="154">
        <f>AVERAGE(AC116,AA116,Z116,Y116)</f>
        <v>3.1857229300918034E-2</v>
      </c>
      <c r="AE116" s="154">
        <f>AVERAGE(AD116,AC116,AA116,Z116)</f>
        <v>3.1734966495420888E-2</v>
      </c>
      <c r="AF116" s="154">
        <f>AVERAGE(AE116,AD116,AC116,AA116)</f>
        <v>3.1789868875308207E-2</v>
      </c>
      <c r="AG116" s="124"/>
      <c r="AH116" s="154">
        <f>AVERAGE(AF116,AE116,AD116,AC116)</f>
        <v>3.1843116505911373E-2</v>
      </c>
      <c r="AI116" s="154">
        <f>AVERAGE(AH116,AF116,AE116,AD116)</f>
        <v>3.1806295294389629E-2</v>
      </c>
      <c r="AJ116" s="154">
        <f>AVERAGE(AI116,AH116,AF116,AE116)</f>
        <v>3.1793561792757524E-2</v>
      </c>
      <c r="AK116" s="154">
        <f>AVERAGE(AJ116,AI116,AH116,AF116)</f>
        <v>3.1808210617091687E-2</v>
      </c>
      <c r="AL116" s="124"/>
      <c r="AM116" s="154">
        <f>AVERAGE(AK116,AJ116,AI116,AH116)</f>
        <v>3.1812796052537555E-2</v>
      </c>
      <c r="AN116" s="154">
        <f>AVERAGE(AM116,AK116,AJ116,AI116)</f>
        <v>3.1805215939194102E-2</v>
      </c>
      <c r="AO116" s="154">
        <f>AVERAGE(AN116,AM116,AK116,AJ116)</f>
        <v>3.1804946100395221E-2</v>
      </c>
      <c r="AP116" s="154">
        <f>AVERAGE(AO116,AN116,AM116,AK116)</f>
        <v>3.1807792177304645E-2</v>
      </c>
      <c r="AQ116" s="124"/>
    </row>
    <row r="117" spans="2:43" outlineLevel="2" x14ac:dyDescent="0.25">
      <c r="B117" s="104" t="s">
        <v>157</v>
      </c>
      <c r="C117" s="105"/>
      <c r="D117" s="107">
        <v>2.2839999999999998</v>
      </c>
      <c r="E117" s="107">
        <v>2.31</v>
      </c>
      <c r="F117" s="107">
        <v>2.29</v>
      </c>
      <c r="G117" s="107">
        <v>2.29</v>
      </c>
      <c r="H117" s="113"/>
      <c r="I117" s="107">
        <v>1.44</v>
      </c>
      <c r="J117" s="107">
        <v>1.39</v>
      </c>
      <c r="K117" s="107">
        <v>1.45</v>
      </c>
      <c r="L117" s="107">
        <v>1.46</v>
      </c>
      <c r="M117" s="113"/>
      <c r="N117" s="107">
        <v>1.4750000000000001</v>
      </c>
      <c r="O117" s="107">
        <v>1.5589999999999999</v>
      </c>
      <c r="P117" s="107">
        <v>1.637</v>
      </c>
      <c r="Q117" s="107">
        <v>1.67</v>
      </c>
      <c r="R117" s="113"/>
      <c r="S117" s="107">
        <f>+N117*(1+S118)</f>
        <v>1.6293917247490388</v>
      </c>
      <c r="T117" s="107">
        <f>+O117*(1+T118)</f>
        <v>1.7535071630135368</v>
      </c>
      <c r="U117" s="107">
        <f>+P117*(1+U118)</f>
        <v>1.842540715395806</v>
      </c>
      <c r="V117" s="107">
        <f>+Q117*(1+V118)</f>
        <v>1.8782621154819286</v>
      </c>
      <c r="W117" s="113"/>
      <c r="X117" s="107">
        <f>+S117*(1+X118)</f>
        <v>1.8247980147589733</v>
      </c>
      <c r="Y117" s="107">
        <f>+T117*(1+Y118)</f>
        <v>1.970484915669974</v>
      </c>
      <c r="Z117" s="107">
        <f>+U117*(1+Z118)</f>
        <v>2.0700633801017139</v>
      </c>
      <c r="AA117" s="107">
        <f>+V117*(1+AA118)</f>
        <v>2.109220823861842</v>
      </c>
      <c r="AB117" s="113"/>
      <c r="AC117" s="107">
        <f>+X117*(1+AC118)</f>
        <v>2.0483870366757859</v>
      </c>
      <c r="AD117" s="107">
        <f>+Y117*(1+AD118)</f>
        <v>2.2132065652751884</v>
      </c>
      <c r="AE117" s="107">
        <f>+Z117*(1+AE118)</f>
        <v>2.3247608172190151</v>
      </c>
      <c r="AF117" s="107">
        <f>+AA117*(1+AF118)</f>
        <v>2.368501671645574</v>
      </c>
      <c r="AG117" s="113"/>
      <c r="AH117" s="107">
        <f>+AC117*(1+AH118)</f>
        <v>2.3001709396937242</v>
      </c>
      <c r="AI117" s="107">
        <f>+AD117*(1+AI118)</f>
        <v>2.4854655839605821</v>
      </c>
      <c r="AJ117" s="107">
        <f>+AE117*(1+AJ118)</f>
        <v>2.6106480192582096</v>
      </c>
      <c r="AK117" s="107">
        <f>+AF117*(1+AK118)</f>
        <v>2.65973025036697</v>
      </c>
      <c r="AL117" s="113"/>
      <c r="AM117" s="107">
        <f>+AH117*(1+AM118)</f>
        <v>2.5830158575726077</v>
      </c>
      <c r="AN117" s="107">
        <f>+AI117*(1+AN118)</f>
        <v>2.7911259239917334</v>
      </c>
      <c r="AO117" s="107">
        <f>+AJ117*(1+AO118)</f>
        <v>2.9316793413315581</v>
      </c>
      <c r="AP117" s="107">
        <f>+AK117*(1+AP118)</f>
        <v>2.9867939462098558</v>
      </c>
      <c r="AQ117" s="113"/>
    </row>
    <row r="118" spans="2:43" outlineLevel="2" x14ac:dyDescent="0.25">
      <c r="B118" s="122" t="s">
        <v>171</v>
      </c>
      <c r="C118" s="105"/>
      <c r="D118" s="123">
        <f>+D117/2.47-1</f>
        <v>-7.5303643724696556E-2</v>
      </c>
      <c r="E118" s="123">
        <f>+E117/2.43-1</f>
        <v>-4.9382716049382713E-2</v>
      </c>
      <c r="F118" s="123">
        <f>+F117/2.31-1</f>
        <v>-8.6580086580086979E-3</v>
      </c>
      <c r="G118" s="123">
        <f>+G117/2.34-1</f>
        <v>-2.1367521367521292E-2</v>
      </c>
      <c r="H118" s="124"/>
      <c r="I118" s="123">
        <f>+I117/D117-1</f>
        <v>-0.3695271453590192</v>
      </c>
      <c r="J118" s="123">
        <f>+J117/E117-1</f>
        <v>-0.39826839826839833</v>
      </c>
      <c r="K118" s="123">
        <f>+K117/F117-1</f>
        <v>-0.36681222707423589</v>
      </c>
      <c r="L118" s="123">
        <f>+L117/G117-1</f>
        <v>-0.36244541484716164</v>
      </c>
      <c r="M118" s="124"/>
      <c r="N118" s="123">
        <f>+N117/I117-1</f>
        <v>2.430555555555558E-2</v>
      </c>
      <c r="O118" s="123">
        <f>+O117/J117-1</f>
        <v>0.12158273381294959</v>
      </c>
      <c r="P118" s="123">
        <f>+P117/K117-1</f>
        <v>0.12896551724137928</v>
      </c>
      <c r="Q118" s="123">
        <f>+Q117/L117-1</f>
        <v>0.14383561643835607</v>
      </c>
      <c r="R118" s="124"/>
      <c r="S118" s="154">
        <f>AVERAGE(Q118,P118,O118,N118)</f>
        <v>0.10467235576206013</v>
      </c>
      <c r="T118" s="154">
        <f>AVERAGE(S118,Q118,P118,O118)</f>
        <v>0.12476405581368627</v>
      </c>
      <c r="U118" s="154">
        <f>AVERAGE(T118,S118,Q118,P118)</f>
        <v>0.12555938631387042</v>
      </c>
      <c r="V118" s="154">
        <f>AVERAGE(U118,T118,S118,Q118)</f>
        <v>0.12470785358199322</v>
      </c>
      <c r="W118" s="124"/>
      <c r="X118" s="154">
        <f>AVERAGE(V118,U118,T118,S118)</f>
        <v>0.11992591286790251</v>
      </c>
      <c r="Y118" s="154">
        <f>AVERAGE(X118,V118,U118,T118)</f>
        <v>0.12373930214436311</v>
      </c>
      <c r="Z118" s="154">
        <f>AVERAGE(Y118,X118,V118,U118)</f>
        <v>0.12348311372703231</v>
      </c>
      <c r="AA118" s="154">
        <f>AVERAGE(Z118,Y118,X118,V118)</f>
        <v>0.12296404558032278</v>
      </c>
      <c r="AB118" s="124"/>
      <c r="AC118" s="154">
        <f>AVERAGE(AA118,Z118,Y118,X118)</f>
        <v>0.12252809357990518</v>
      </c>
      <c r="AD118" s="154">
        <f>AVERAGE(AC118,AA118,Z118,Y118)</f>
        <v>0.12317863875790586</v>
      </c>
      <c r="AE118" s="154">
        <f>AVERAGE(AD118,AC118,AA118,Z118)</f>
        <v>0.12303847291129154</v>
      </c>
      <c r="AF118" s="154">
        <f>AVERAGE(AE118,AD118,AC118,AA118)</f>
        <v>0.12292731270735635</v>
      </c>
      <c r="AG118" s="124"/>
      <c r="AH118" s="154">
        <f>AVERAGE(AF118,AE118,AD118,AC118)</f>
        <v>0.12291812948911474</v>
      </c>
      <c r="AI118" s="154">
        <f>AVERAGE(AH118,AF118,AE118,AD118)</f>
        <v>0.12301563846641712</v>
      </c>
      <c r="AJ118" s="154">
        <f>AVERAGE(AI118,AH118,AF118,AE118)</f>
        <v>0.12297488839354494</v>
      </c>
      <c r="AK118" s="154">
        <f>AVERAGE(AJ118,AI118,AH118,AF118)</f>
        <v>0.12295899226410828</v>
      </c>
      <c r="AL118" s="124"/>
      <c r="AM118" s="154">
        <f>AVERAGE(AK118,AJ118,AI118,AH118)</f>
        <v>0.12296691215329626</v>
      </c>
      <c r="AN118" s="154">
        <f>AVERAGE(AM118,AK118,AJ118,AI118)</f>
        <v>0.12297910781934164</v>
      </c>
      <c r="AO118" s="154">
        <f>AVERAGE(AN118,AM118,AK118,AJ118)</f>
        <v>0.12296997515757278</v>
      </c>
      <c r="AP118" s="154">
        <f>AVERAGE(AO118,AN118,AM118,AK118)</f>
        <v>0.12296874684857974</v>
      </c>
      <c r="AQ118" s="124"/>
    </row>
    <row r="119" spans="2:43" outlineLevel="2" x14ac:dyDescent="0.25">
      <c r="B119" s="109" t="s">
        <v>158</v>
      </c>
      <c r="C119" s="108"/>
      <c r="D119" s="125">
        <f>+D115*D117*D59/1000</f>
        <v>252.58984399999997</v>
      </c>
      <c r="E119" s="125">
        <f>+E115*E117*E59/1000</f>
        <v>256.49662499999999</v>
      </c>
      <c r="F119" s="125">
        <f>+F115*F117*F59/1000</f>
        <v>233.86167</v>
      </c>
      <c r="G119" s="125">
        <f>+G115*G117*G59/1000</f>
        <v>256.31970000000001</v>
      </c>
      <c r="H119" s="114"/>
      <c r="I119" s="125">
        <f>+I115*I117*I59/1000</f>
        <v>448.62479999999999</v>
      </c>
      <c r="J119" s="125">
        <f>+J115*J117*J59/1000</f>
        <v>474.40171799999996</v>
      </c>
      <c r="K119" s="125">
        <f>+K115*K117*K59/1000</f>
        <v>470.89619999999996</v>
      </c>
      <c r="L119" s="125">
        <f>+L115*L117*L59/1000</f>
        <v>513.35205999999994</v>
      </c>
      <c r="M119" s="114"/>
      <c r="N119" s="125">
        <f>+N115*N117*N59/1000</f>
        <v>470.31481250000002</v>
      </c>
      <c r="O119" s="125">
        <f>+O115*O117*O59/1000</f>
        <v>560.4262020000001</v>
      </c>
      <c r="P119" s="125">
        <f>+P115*P117*P59/1000</f>
        <v>551.11242000000004</v>
      </c>
      <c r="Q119" s="125">
        <f>+Q115*Q117*Q59/1000</f>
        <v>598.65324999999996</v>
      </c>
      <c r="R119" s="114"/>
      <c r="S119" s="125">
        <f>+S115*S117*S59/1000</f>
        <v>536.80838062374187</v>
      </c>
      <c r="T119" s="125">
        <f>+T115*T117*T59/1000</f>
        <v>652.83171833918402</v>
      </c>
      <c r="U119" s="125">
        <f>+U115*U117*U59/1000</f>
        <v>639.7063914385609</v>
      </c>
      <c r="V119" s="125">
        <f>+V115*V117*V59/1000</f>
        <v>693.45732348357546</v>
      </c>
      <c r="W119" s="114"/>
      <c r="X119" s="125">
        <f>+X115*X117*X59/1000</f>
        <v>620.73802932473563</v>
      </c>
      <c r="Y119" s="125">
        <f>+Y115*Y117*Y59/1000</f>
        <v>757.34230046624555</v>
      </c>
      <c r="Z119" s="125">
        <f>+Z115*Z117*Z59/1000</f>
        <v>741.34939442124653</v>
      </c>
      <c r="AA119" s="125">
        <f>+AA115*AA117*AA59/1000</f>
        <v>803.31742941946197</v>
      </c>
      <c r="AB119" s="114"/>
      <c r="AC119" s="125">
        <f>+AC115*AC117*AC59/1000</f>
        <v>719.08665642554752</v>
      </c>
      <c r="AD119" s="125">
        <f>+AD115*AD117*AD59/1000</f>
        <v>877.72943118416663</v>
      </c>
      <c r="AE119" s="125">
        <f>+AE115*AE117*AE59/1000</f>
        <v>858.98527901626198</v>
      </c>
      <c r="AF119" s="125">
        <f>+AF115*AF117*AF59/1000</f>
        <v>930.74367653104048</v>
      </c>
      <c r="AG119" s="114"/>
      <c r="AH119" s="125">
        <f>+AH115*AH117*AH59/1000</f>
        <v>833.18797778660837</v>
      </c>
      <c r="AI119" s="125">
        <f>+AI115*AI117*AI59/1000</f>
        <v>1017.0554661646157</v>
      </c>
      <c r="AJ119" s="125">
        <f>+AJ115*AJ117*AJ59/1000</f>
        <v>995.28756836976311</v>
      </c>
      <c r="AK119" s="125">
        <f>+AK115*AK117*AK59/1000</f>
        <v>1078.43250868108</v>
      </c>
      <c r="AL119" s="114"/>
      <c r="AM119" s="125">
        <f>+AM115*AM117*AM59/1000</f>
        <v>965.40793566418881</v>
      </c>
      <c r="AN119" s="125">
        <f>+AN115*AN117*AN59/1000</f>
        <v>1178.45779615948</v>
      </c>
      <c r="AO119" s="125">
        <f>+AO115*AO117*AO59/1000</f>
        <v>1153.2257462531816</v>
      </c>
      <c r="AP119" s="125">
        <f>+AP115*AP117*AP59/1000</f>
        <v>1249.5667024096733</v>
      </c>
      <c r="AQ119" s="114"/>
    </row>
    <row r="120" spans="2:43" ht="17.25" outlineLevel="1" x14ac:dyDescent="0.4">
      <c r="B120" s="536" t="s">
        <v>159</v>
      </c>
      <c r="C120" s="537"/>
      <c r="D120" s="23"/>
      <c r="E120" s="23"/>
      <c r="F120" s="23"/>
      <c r="G120" s="23"/>
      <c r="H120" s="31"/>
      <c r="I120" s="23"/>
      <c r="J120" s="23"/>
      <c r="K120" s="23"/>
      <c r="L120" s="23"/>
      <c r="M120" s="31"/>
      <c r="N120" s="23"/>
      <c r="O120" s="23"/>
      <c r="P120" s="23"/>
      <c r="Q120" s="23"/>
      <c r="R120" s="27"/>
      <c r="S120" s="24"/>
      <c r="T120" s="24"/>
      <c r="U120" s="24"/>
      <c r="V120" s="24"/>
      <c r="W120" s="27"/>
      <c r="X120" s="24"/>
      <c r="Y120" s="24"/>
      <c r="Z120" s="24"/>
      <c r="AA120" s="24"/>
      <c r="AB120" s="27"/>
      <c r="AC120" s="24"/>
      <c r="AD120" s="24"/>
      <c r="AE120" s="24"/>
      <c r="AF120" s="24"/>
      <c r="AG120" s="27"/>
      <c r="AH120" s="24"/>
      <c r="AI120" s="24"/>
      <c r="AJ120" s="24"/>
      <c r="AK120" s="24"/>
      <c r="AL120" s="27"/>
      <c r="AM120" s="24"/>
      <c r="AN120" s="24"/>
      <c r="AO120" s="24"/>
      <c r="AP120" s="24"/>
      <c r="AQ120" s="27"/>
    </row>
    <row r="121" spans="2:43" outlineLevel="2" x14ac:dyDescent="0.25">
      <c r="B121" s="100" t="s">
        <v>340</v>
      </c>
      <c r="C121" s="288"/>
      <c r="D121" s="241">
        <v>790</v>
      </c>
      <c r="E121" s="241">
        <v>842</v>
      </c>
      <c r="F121" s="241">
        <v>793</v>
      </c>
      <c r="G121" s="241">
        <v>808.49</v>
      </c>
      <c r="H121" s="31"/>
      <c r="I121" s="241">
        <v>11153.5</v>
      </c>
      <c r="J121" s="241">
        <v>12592.5</v>
      </c>
      <c r="K121" s="241">
        <v>12578</v>
      </c>
      <c r="L121" s="241">
        <v>12794.5</v>
      </c>
      <c r="M121" s="31"/>
      <c r="N121" s="241">
        <v>10281</v>
      </c>
      <c r="O121" s="241">
        <v>13230.5</v>
      </c>
      <c r="P121" s="241">
        <v>13209.4</v>
      </c>
      <c r="Q121" s="241">
        <v>13738</v>
      </c>
      <c r="R121" s="27"/>
      <c r="S121" s="101">
        <f>+N121*(1+S122)</f>
        <v>10528.720428440763</v>
      </c>
      <c r="T121" s="101">
        <f>+O121*(1+T122)</f>
        <v>13887.729837299821</v>
      </c>
      <c r="U121" s="101">
        <f>+P121*(1+U122)</f>
        <v>13862.313287311774</v>
      </c>
      <c r="V121" s="101">
        <f>+Q121*(1+V122)</f>
        <v>14414.393473001091</v>
      </c>
      <c r="W121" s="27"/>
      <c r="X121" s="101">
        <f>+S121*(1+X122)</f>
        <v>10982.596414111291</v>
      </c>
      <c r="Y121" s="101">
        <f>+T121*(1+Y122)</f>
        <v>14552.420476250862</v>
      </c>
      <c r="Z121" s="101">
        <f>+U121*(1+Z122)</f>
        <v>14519.502138954682</v>
      </c>
      <c r="AA121" s="101">
        <f>+V121*(1+AA122)</f>
        <v>15090.477618758168</v>
      </c>
      <c r="AB121" s="27"/>
      <c r="AC121" s="101">
        <f>+X121*(1+AC122)</f>
        <v>11491.315242130697</v>
      </c>
      <c r="AD121" s="101">
        <f>+Y121*(1+AD122)</f>
        <v>15238.181055641719</v>
      </c>
      <c r="AE121" s="101">
        <f>+Z121*(1+AE122)</f>
        <v>15201.031743246998</v>
      </c>
      <c r="AF121" s="101">
        <f>+AA121*(1+AF122)</f>
        <v>15797.037320571493</v>
      </c>
      <c r="AG121" s="27"/>
      <c r="AH121" s="101">
        <f>+AC121*(1+AH122)</f>
        <v>12029.121418007289</v>
      </c>
      <c r="AI121" s="101">
        <f>+AD121*(1+AI122)</f>
        <v>15953.175712382406</v>
      </c>
      <c r="AJ121" s="101">
        <f>+AE121*(1+AJ122)</f>
        <v>15913.51484991257</v>
      </c>
      <c r="AK121" s="101">
        <f>+AF121*(1+AK122)</f>
        <v>16537.186279165431</v>
      </c>
      <c r="AL121" s="27"/>
      <c r="AM121" s="101">
        <f>+AH121*(1+AM122)</f>
        <v>12592.82626272673</v>
      </c>
      <c r="AN121" s="101">
        <f>+AI121*(1+AN122)</f>
        <v>16701.009954850568</v>
      </c>
      <c r="AO121" s="101">
        <f>+AJ121*(1+AO122)</f>
        <v>16659.313141471353</v>
      </c>
      <c r="AP121" s="101">
        <f>+AK121*(1+AP122)</f>
        <v>17312.192751248156</v>
      </c>
      <c r="AQ121" s="27"/>
    </row>
    <row r="122" spans="2:43" outlineLevel="2" x14ac:dyDescent="0.25">
      <c r="B122" s="118" t="s">
        <v>172</v>
      </c>
      <c r="C122" s="288"/>
      <c r="D122" s="143">
        <f>+D121/1059-1</f>
        <v>-0.25401322001888571</v>
      </c>
      <c r="E122" s="143">
        <f>+E121/1061-1</f>
        <v>-0.20640904806786053</v>
      </c>
      <c r="F122" s="143">
        <f>+F121/948-1</f>
        <v>-0.1635021097046413</v>
      </c>
      <c r="G122" s="143">
        <f>+G121/964-1</f>
        <v>-0.16131742738589205</v>
      </c>
      <c r="H122" s="61"/>
      <c r="I122" s="143">
        <f>+I121/D121-1</f>
        <v>13.118354430379746</v>
      </c>
      <c r="J122" s="143">
        <f>+J121/E121-1</f>
        <v>13.955463182897862</v>
      </c>
      <c r="K122" s="143">
        <f>+K121/F121-1</f>
        <v>14.861286254728878</v>
      </c>
      <c r="L122" s="143">
        <f>+L121/G121-1</f>
        <v>14.825180274338582</v>
      </c>
      <c r="M122" s="61"/>
      <c r="N122" s="143">
        <f>+N121/I121-1</f>
        <v>-7.822656565203745E-2</v>
      </c>
      <c r="O122" s="143">
        <f>+O121/J121-1</f>
        <v>5.0665078419694254E-2</v>
      </c>
      <c r="P122" s="143">
        <f>+P121/K121-1</f>
        <v>5.0198759739227272E-2</v>
      </c>
      <c r="Q122" s="143">
        <f>+Q121/L121-1</f>
        <v>7.3742623783657146E-2</v>
      </c>
      <c r="R122" s="34"/>
      <c r="S122" s="154">
        <f>AVERAGE(Q122,P122,O122,N122)</f>
        <v>2.4094974072635306E-2</v>
      </c>
      <c r="T122" s="154">
        <f>AVERAGE(S122,Q122,P122,O122)</f>
        <v>4.9675359003803495E-2</v>
      </c>
      <c r="U122" s="154">
        <f>AVERAGE(T122,S122,Q122,P122)</f>
        <v>4.9427929149830803E-2</v>
      </c>
      <c r="V122" s="154">
        <f>AVERAGE(U122,T122,S122,Q122)</f>
        <v>4.9235221502481691E-2</v>
      </c>
      <c r="W122" s="34"/>
      <c r="X122" s="154">
        <f>AVERAGE(V122,U122,T122,S122)</f>
        <v>4.310837093218782E-2</v>
      </c>
      <c r="Y122" s="154">
        <f>AVERAGE(X122,V122,U122,T122)</f>
        <v>4.7861720147075952E-2</v>
      </c>
      <c r="Z122" s="154">
        <f>AVERAGE(Y122,X122,V122,U122)</f>
        <v>4.7408310432894063E-2</v>
      </c>
      <c r="AA122" s="154">
        <f>AVERAGE(Z122,Y122,X122,V122)</f>
        <v>4.6903405753659887E-2</v>
      </c>
      <c r="AB122" s="34"/>
      <c r="AC122" s="154">
        <f>AVERAGE(AA122,Z122,Y122,X122)</f>
        <v>4.632045181645443E-2</v>
      </c>
      <c r="AD122" s="154">
        <f>AVERAGE(AC122,AA122,Z122,Y122)</f>
        <v>4.7123472037521083E-2</v>
      </c>
      <c r="AE122" s="154">
        <f>AVERAGE(AD122,AC122,AA122,Z122)</f>
        <v>4.6938910010132368E-2</v>
      </c>
      <c r="AF122" s="154">
        <f>AVERAGE(AE122,AD122,AC122,AA122)</f>
        <v>4.6821559904441944E-2</v>
      </c>
      <c r="AG122" s="34"/>
      <c r="AH122" s="154">
        <f>AVERAGE(AF122,AE122,AD122,AC122)</f>
        <v>4.6801098442137465E-2</v>
      </c>
      <c r="AI122" s="154">
        <f>AVERAGE(AH122,AF122,AE122,AD122)</f>
        <v>4.692126009855821E-2</v>
      </c>
      <c r="AJ122" s="154">
        <f>AVERAGE(AI122,AH122,AF122,AE122)</f>
        <v>4.6870707113817495E-2</v>
      </c>
      <c r="AK122" s="154">
        <f>AVERAGE(AJ122,AI122,AH122,AF122)</f>
        <v>4.6853656389738783E-2</v>
      </c>
      <c r="AL122" s="34"/>
      <c r="AM122" s="154">
        <f>AVERAGE(AK122,AJ122,AI122,AH122)</f>
        <v>4.6861680511062986E-2</v>
      </c>
      <c r="AN122" s="154">
        <f>AVERAGE(AM122,AK122,AJ122,AI122)</f>
        <v>4.687682602829437E-2</v>
      </c>
      <c r="AO122" s="154">
        <f>AVERAGE(AN122,AM122,AK122,AJ122)</f>
        <v>4.6865717510728412E-2</v>
      </c>
      <c r="AP122" s="154">
        <f>AVERAGE(AO122,AN122,AM122,AK122)</f>
        <v>4.686447010995614E-2</v>
      </c>
      <c r="AQ122" s="34"/>
    </row>
    <row r="123" spans="2:43" outlineLevel="2" x14ac:dyDescent="0.25">
      <c r="B123" s="100" t="s">
        <v>160</v>
      </c>
      <c r="C123" s="288"/>
      <c r="D123" s="120">
        <v>1.89</v>
      </c>
      <c r="E123" s="120">
        <v>1.84</v>
      </c>
      <c r="F123" s="120">
        <v>1.83</v>
      </c>
      <c r="G123" s="120">
        <v>1.8744000000000001</v>
      </c>
      <c r="H123" s="31"/>
      <c r="I123" s="120">
        <v>0.56499999999999995</v>
      </c>
      <c r="J123" s="120">
        <v>0.52800000000000002</v>
      </c>
      <c r="K123" s="120">
        <v>0.56000000000000005</v>
      </c>
      <c r="L123" s="120">
        <v>0.56899999999999995</v>
      </c>
      <c r="M123" s="31"/>
      <c r="N123" s="120">
        <v>0.56999999999999995</v>
      </c>
      <c r="O123" s="120">
        <v>0.57699999999999996</v>
      </c>
      <c r="P123" s="120">
        <v>0.60099999999999998</v>
      </c>
      <c r="Q123" s="120">
        <v>0.63</v>
      </c>
      <c r="R123" s="27"/>
      <c r="S123" s="120">
        <f>+N123*(1+S124)</f>
        <v>0.6101953308853455</v>
      </c>
      <c r="T123" s="120">
        <f>+O123*(1+T124)</f>
        <v>0.62658464852226781</v>
      </c>
      <c r="U123" s="120">
        <f>+P123*(1+U124)</f>
        <v>0.6516152133318982</v>
      </c>
      <c r="V123" s="120">
        <f>+Q123*(1+V124)</f>
        <v>0.68479068094653883</v>
      </c>
      <c r="W123" s="27"/>
      <c r="X123" s="120">
        <f>+S123*(1+X124)</f>
        <v>0.66017659065673984</v>
      </c>
      <c r="Y123" s="120">
        <f>+T123*(1+Y124)</f>
        <v>0.67969289633354624</v>
      </c>
      <c r="Z123" s="120">
        <f>+U123*(1+Z124)</f>
        <v>0.70665327647436638</v>
      </c>
      <c r="AA123" s="120">
        <f>+V123*(1+AA124)</f>
        <v>0.74267294698820663</v>
      </c>
      <c r="AB123" s="27"/>
      <c r="AC123" s="120">
        <f>+X123*(1+AC124)</f>
        <v>0.71557499599606877</v>
      </c>
      <c r="AD123" s="120">
        <f>+Y123*(1+AD124)</f>
        <v>0.73706957401895123</v>
      </c>
      <c r="AE123" s="120">
        <f>+Z123*(1+AE124)</f>
        <v>0.76624528702483308</v>
      </c>
      <c r="AF123" s="120">
        <f>+AA123*(1+AF124)</f>
        <v>0.80527758771627334</v>
      </c>
      <c r="AG123" s="27"/>
      <c r="AH123" s="120">
        <f>+AC123*(1+AH124)</f>
        <v>0.77585439163042269</v>
      </c>
      <c r="AI123" s="120">
        <f>+AD123*(1+AI124)</f>
        <v>0.7992194626332233</v>
      </c>
      <c r="AJ123" s="120">
        <f>+AE123*(1+AJ124)</f>
        <v>0.83083701472622751</v>
      </c>
      <c r="AK123" s="120">
        <f>+AF123*(1+AK124)</f>
        <v>0.87315285334649861</v>
      </c>
      <c r="AL123" s="27"/>
      <c r="AM123" s="120">
        <f>+AH123*(1+AM124)</f>
        <v>0.84124801533919313</v>
      </c>
      <c r="AN123" s="120">
        <f>+AI123*(1+AN124)</f>
        <v>0.86659179363466809</v>
      </c>
      <c r="AO123" s="120">
        <f>+AJ123*(1+AO124)</f>
        <v>0.90086993997572351</v>
      </c>
      <c r="AP123" s="120">
        <f>+AK123*(1+AP124)</f>
        <v>0.94675170601852798</v>
      </c>
      <c r="AQ123" s="27"/>
    </row>
    <row r="124" spans="2:43" outlineLevel="2" x14ac:dyDescent="0.25">
      <c r="B124" s="118" t="s">
        <v>171</v>
      </c>
      <c r="C124" s="288"/>
      <c r="D124" s="143">
        <f>+D123/1.78-1</f>
        <v>6.1797752808988804E-2</v>
      </c>
      <c r="E124" s="143">
        <f>+E123/1.76-1</f>
        <v>4.5454545454545414E-2</v>
      </c>
      <c r="F124" s="143">
        <f>+F123/1.72-1</f>
        <v>6.3953488372093137E-2</v>
      </c>
      <c r="G124" s="143">
        <f>+G123/1.75-1</f>
        <v>7.1085714285714419E-2</v>
      </c>
      <c r="H124" s="61"/>
      <c r="I124" s="143">
        <f>+I123/D123-1</f>
        <v>-0.70105820105820105</v>
      </c>
      <c r="J124" s="143">
        <f>+J123/E123-1</f>
        <v>-0.71304347826086956</v>
      </c>
      <c r="K124" s="143">
        <f>+K123/F123-1</f>
        <v>-0.69398907103825136</v>
      </c>
      <c r="L124" s="143">
        <f>+L123/G123-1</f>
        <v>-0.6964361929150662</v>
      </c>
      <c r="M124" s="61"/>
      <c r="N124" s="143">
        <f>+N123/I123-1</f>
        <v>8.8495575221239076E-3</v>
      </c>
      <c r="O124" s="143">
        <f>+O123/J123-1</f>
        <v>9.2803030303030276E-2</v>
      </c>
      <c r="P124" s="143">
        <f>+P123/K123-1</f>
        <v>7.3214285714285676E-2</v>
      </c>
      <c r="Q124" s="143">
        <f>+Q123/L123-1</f>
        <v>0.10720562390158173</v>
      </c>
      <c r="R124" s="34"/>
      <c r="S124" s="154">
        <f>AVERAGE(Q124,P124,O124,N124)</f>
        <v>7.0518124360255396E-2</v>
      </c>
      <c r="T124" s="154">
        <f>AVERAGE(S124,Q124,P124,O124)</f>
        <v>8.5935266069788269E-2</v>
      </c>
      <c r="U124" s="154">
        <f>AVERAGE(T124,S124,Q124,P124)</f>
        <v>8.4218325011477774E-2</v>
      </c>
      <c r="V124" s="154">
        <f>AVERAGE(U124,T124,S124,Q124)</f>
        <v>8.6969334835775791E-2</v>
      </c>
      <c r="W124" s="34"/>
      <c r="X124" s="154">
        <f>AVERAGE(V124,U124,T124,S124)</f>
        <v>8.1910262569324307E-2</v>
      </c>
      <c r="Y124" s="154">
        <f>AVERAGE(X124,V124,U124,T124)</f>
        <v>8.4758297121591553E-2</v>
      </c>
      <c r="Z124" s="154">
        <f>AVERAGE(Y124,X124,V124,U124)</f>
        <v>8.4464054884542367E-2</v>
      </c>
      <c r="AA124" s="154">
        <f>AVERAGE(Z124,Y124,X124,V124)</f>
        <v>8.4525487352808501E-2</v>
      </c>
      <c r="AB124" s="34"/>
      <c r="AC124" s="154">
        <f>AVERAGE(AA124,Z124,Y124,X124)</f>
        <v>8.3914525482066682E-2</v>
      </c>
      <c r="AD124" s="154">
        <f>AVERAGE(AC124,AA124,Z124,Y124)</f>
        <v>8.4415591210252272E-2</v>
      </c>
      <c r="AE124" s="154">
        <f>AVERAGE(AD124,AC124,AA124,Z124)</f>
        <v>8.4329914732417466E-2</v>
      </c>
      <c r="AF124" s="154">
        <f>AVERAGE(AE124,AD124,AC124,AA124)</f>
        <v>8.4296379694386234E-2</v>
      </c>
      <c r="AG124" s="34"/>
      <c r="AH124" s="154">
        <f>AVERAGE(AF124,AE124,AD124,AC124)</f>
        <v>8.4239102779780667E-2</v>
      </c>
      <c r="AI124" s="154">
        <f>AVERAGE(AH124,AF124,AE124,AD124)</f>
        <v>8.4320247104209156E-2</v>
      </c>
      <c r="AJ124" s="154">
        <f>AVERAGE(AI124,AH124,AF124,AE124)</f>
        <v>8.4296411077698377E-2</v>
      </c>
      <c r="AK124" s="154">
        <f>AVERAGE(AJ124,AI124,AH124,AF124)</f>
        <v>8.4288035164018602E-2</v>
      </c>
      <c r="AL124" s="34"/>
      <c r="AM124" s="154">
        <f>AVERAGE(AK124,AJ124,AI124,AH124)</f>
        <v>8.4285949031426693E-2</v>
      </c>
      <c r="AN124" s="154">
        <f>AVERAGE(AM124,AK124,AJ124,AI124)</f>
        <v>8.42976605943382E-2</v>
      </c>
      <c r="AO124" s="154">
        <f>AVERAGE(AN124,AM124,AK124,AJ124)</f>
        <v>8.4292013966870472E-2</v>
      </c>
      <c r="AP124" s="154">
        <f>AVERAGE(AO124,AN124,AM124,AK124)</f>
        <v>8.4290914689163499E-2</v>
      </c>
      <c r="AQ124" s="34"/>
    </row>
    <row r="125" spans="2:43" outlineLevel="2" x14ac:dyDescent="0.25">
      <c r="B125" s="96" t="s">
        <v>161</v>
      </c>
      <c r="C125" s="97"/>
      <c r="D125" s="121">
        <f>+D121*D123*D59/1000</f>
        <v>97.051500000000004</v>
      </c>
      <c r="E125" s="121">
        <f>+E121*E123*E59/1000</f>
        <v>97.604640000000003</v>
      </c>
      <c r="F125" s="121">
        <f>+F121*F123*F59/1000</f>
        <v>91.424970000000002</v>
      </c>
      <c r="G125" s="121">
        <f>+G121*G123*G59/1000</f>
        <v>98.503187640000007</v>
      </c>
      <c r="H125" s="33"/>
      <c r="I125" s="121">
        <f>+I121*I123*I59/1000</f>
        <v>409.61228749999992</v>
      </c>
      <c r="J125" s="121">
        <f>+J121*J123*J59/1000</f>
        <v>418.87691999999998</v>
      </c>
      <c r="K125" s="121">
        <f>+K121*K123*K59/1000</f>
        <v>436.70816000000002</v>
      </c>
      <c r="L125" s="121">
        <f>+L121*L123*L59/1000</f>
        <v>473.20458249999996</v>
      </c>
      <c r="M125" s="33"/>
      <c r="N125" s="121">
        <f>+N121*N123*N59/1000</f>
        <v>380.91104999999993</v>
      </c>
      <c r="O125" s="121">
        <f>+O121*O123*O59/1000</f>
        <v>480.94190550000002</v>
      </c>
      <c r="P125" s="121">
        <f>+P121*P123*P59/1000</f>
        <v>492.20866279999996</v>
      </c>
      <c r="Q125" s="121">
        <f>+Q121*Q123*Q59/1000</f>
        <v>562.5711</v>
      </c>
      <c r="R125" s="28"/>
      <c r="S125" s="121">
        <f>+S121*S123*S59/1000</f>
        <v>417.59744296606107</v>
      </c>
      <c r="T125" s="121">
        <f>+T121*T123*T59/1000</f>
        <v>548.21581408923339</v>
      </c>
      <c r="U125" s="121">
        <f>+U121*U123*U59/1000</f>
        <v>560.03944225908663</v>
      </c>
      <c r="V125" s="121">
        <f>+V121*V123*V59/1000</f>
        <v>641.60475091750459</v>
      </c>
      <c r="W125" s="28"/>
      <c r="X125" s="121">
        <f>+X121*X123*X59/1000</f>
        <v>471.27944871975041</v>
      </c>
      <c r="Y125" s="121">
        <f>+Y121*Y123*Y59/1000</f>
        <v>623.14413979649271</v>
      </c>
      <c r="Z125" s="121">
        <f>+Z121*Z123*Z59/1000</f>
        <v>636.13573307467163</v>
      </c>
      <c r="AA125" s="121">
        <f>+AA121*AA123*AA59/1000</f>
        <v>728.47381649787576</v>
      </c>
      <c r="AB125" s="28"/>
      <c r="AC125" s="121">
        <f>+AC121*AC123*AC59/1000</f>
        <v>534.4883607945203</v>
      </c>
      <c r="AD125" s="121">
        <f>+AD121*AD123*AD59/1000</f>
        <v>707.59077602884611</v>
      </c>
      <c r="AE125" s="121">
        <f>+AE121*AE123*AE59/1000</f>
        <v>722.15857373302947</v>
      </c>
      <c r="AF125" s="121">
        <f>+AF121*AF123*AF59/1000</f>
        <v>826.86500692729408</v>
      </c>
      <c r="AG125" s="28"/>
      <c r="AH125" s="121">
        <f>+AH121*AH123*AH59/1000</f>
        <v>606.63503417507457</v>
      </c>
      <c r="AI125" s="121">
        <f>+AI121*AI123*AI59/1000</f>
        <v>803.25557676905032</v>
      </c>
      <c r="AJ125" s="121">
        <f>+AJ121*AJ123*AJ59/1000</f>
        <v>819.73530464557678</v>
      </c>
      <c r="AK125" s="121">
        <f>+AK121*AK123*AK59/1000</f>
        <v>938.56694008843112</v>
      </c>
      <c r="AL125" s="28"/>
      <c r="AM125" s="121">
        <f>+AM121*AM123*AM59/1000</f>
        <v>688.58985656695847</v>
      </c>
      <c r="AN125" s="121">
        <f>+AN121*AN123*AN59/1000</f>
        <v>911.79636485391723</v>
      </c>
      <c r="AO125" s="121">
        <f>+AO121*AO123*AO59/1000</f>
        <v>930.48821464723289</v>
      </c>
      <c r="AP125" s="121">
        <f>+AP121*AP123*AP59/1000</f>
        <v>1065.3726214407759</v>
      </c>
      <c r="AQ125" s="28"/>
    </row>
    <row r="126" spans="2:43" ht="17.25" outlineLevel="1" x14ac:dyDescent="0.4">
      <c r="B126" s="557" t="s">
        <v>162</v>
      </c>
      <c r="C126" s="558"/>
      <c r="D126" s="103"/>
      <c r="E126" s="103"/>
      <c r="F126" s="103"/>
      <c r="G126" s="103"/>
      <c r="H126" s="113"/>
      <c r="I126" s="103"/>
      <c r="J126" s="103"/>
      <c r="K126" s="103"/>
      <c r="L126" s="103"/>
      <c r="M126" s="113"/>
      <c r="N126" s="103"/>
      <c r="O126" s="103"/>
      <c r="P126" s="103"/>
      <c r="Q126" s="103"/>
      <c r="R126" s="113"/>
      <c r="S126" s="103"/>
      <c r="T126" s="103"/>
      <c r="U126" s="103"/>
      <c r="V126" s="103"/>
      <c r="W126" s="113"/>
      <c r="X126" s="103"/>
      <c r="Y126" s="103"/>
      <c r="Z126" s="103"/>
      <c r="AA126" s="103"/>
      <c r="AB126" s="113"/>
      <c r="AC126" s="103"/>
      <c r="AD126" s="103"/>
      <c r="AE126" s="103"/>
      <c r="AF126" s="103"/>
      <c r="AG126" s="113"/>
      <c r="AH126" s="103"/>
      <c r="AI126" s="103"/>
      <c r="AJ126" s="103"/>
      <c r="AK126" s="103"/>
      <c r="AL126" s="113"/>
      <c r="AM126" s="103"/>
      <c r="AN126" s="103"/>
      <c r="AO126" s="103"/>
      <c r="AP126" s="103"/>
      <c r="AQ126" s="113"/>
    </row>
    <row r="127" spans="2:43" outlineLevel="2" x14ac:dyDescent="0.25">
      <c r="B127" s="104" t="s">
        <v>341</v>
      </c>
      <c r="C127" s="105"/>
      <c r="D127" s="106">
        <v>609</v>
      </c>
      <c r="E127" s="106">
        <v>678</v>
      </c>
      <c r="F127" s="106">
        <v>622</v>
      </c>
      <c r="G127" s="106">
        <v>586</v>
      </c>
      <c r="H127" s="113"/>
      <c r="I127" s="106">
        <v>1869.4</v>
      </c>
      <c r="J127" s="106">
        <v>1958.5</v>
      </c>
      <c r="K127" s="106">
        <v>1995</v>
      </c>
      <c r="L127" s="106">
        <v>1787</v>
      </c>
      <c r="M127" s="113"/>
      <c r="N127" s="106">
        <v>1853</v>
      </c>
      <c r="O127" s="106">
        <v>2145</v>
      </c>
      <c r="P127" s="106">
        <v>1951</v>
      </c>
      <c r="Q127" s="106">
        <v>1811</v>
      </c>
      <c r="R127" s="113"/>
      <c r="S127" s="106">
        <f>+N127*(1+S128)</f>
        <v>1889.0539424806909</v>
      </c>
      <c r="T127" s="106">
        <f>+O127*(1+T128)</f>
        <v>2201.8737076557413</v>
      </c>
      <c r="U127" s="106">
        <f>+P127*(1+U128)</f>
        <v>1969.2159050655987</v>
      </c>
      <c r="V127" s="106">
        <f>+Q127*(1+V128)</f>
        <v>1842.1214221892603</v>
      </c>
      <c r="W127" s="113"/>
      <c r="X127" s="106">
        <f>+S127*(1+X128)</f>
        <v>1923.289728918598</v>
      </c>
      <c r="Y127" s="106">
        <f>+T127*(1+Y128)</f>
        <v>2241.0445767860974</v>
      </c>
      <c r="Z127" s="106">
        <f>+U127*(1+Z128)</f>
        <v>1999.9526069820681</v>
      </c>
      <c r="AA127" s="106">
        <f>+V127*(1+AA128)</f>
        <v>1873.7627564557181</v>
      </c>
      <c r="AB127" s="113"/>
      <c r="AC127" s="106">
        <f>+X127*(1+AC128)</f>
        <v>1956.3213677031647</v>
      </c>
      <c r="AD127" s="106">
        <f>+Y127*(1+AD128)</f>
        <v>2279.0019968850429</v>
      </c>
      <c r="AE127" s="106">
        <f>+Z127*(1+AE128)</f>
        <v>2033.4003658633585</v>
      </c>
      <c r="AF127" s="106">
        <f>+AA127*(1+AF128)</f>
        <v>1905.6227097434391</v>
      </c>
      <c r="AG127" s="113"/>
      <c r="AH127" s="106">
        <f>+AC127*(1+AH128)</f>
        <v>1989.5002849967041</v>
      </c>
      <c r="AI127" s="106">
        <f>+AD127*(1+AI128)</f>
        <v>2317.531203033539</v>
      </c>
      <c r="AJ127" s="106">
        <f>+AE127*(1+AJ128)</f>
        <v>2067.7615255354203</v>
      </c>
      <c r="AK127" s="106">
        <f>+AF127*(1+AK128)</f>
        <v>1937.9075761547815</v>
      </c>
      <c r="AL127" s="113"/>
      <c r="AM127" s="106">
        <f>+AH127*(1+AM128)</f>
        <v>2023.1757094526226</v>
      </c>
      <c r="AN127" s="106">
        <f>+AI127*(1+AN128)</f>
        <v>2356.7397877540211</v>
      </c>
      <c r="AO127" s="106">
        <f>+AJ127*(1+AO128)</f>
        <v>2102.7506879982775</v>
      </c>
      <c r="AP127" s="106">
        <f>+AK127*(1+AP128)</f>
        <v>1970.7105394647281</v>
      </c>
      <c r="AQ127" s="113"/>
    </row>
    <row r="128" spans="2:43" outlineLevel="2" x14ac:dyDescent="0.25">
      <c r="B128" s="122" t="s">
        <v>172</v>
      </c>
      <c r="C128" s="105"/>
      <c r="D128" s="123">
        <f>+D127/670-1</f>
        <v>-9.1044776119402981E-2</v>
      </c>
      <c r="E128" s="123">
        <f>+E127/630-1</f>
        <v>7.6190476190476142E-2</v>
      </c>
      <c r="F128" s="123">
        <f>+F127/718-1</f>
        <v>-0.13370473537604455</v>
      </c>
      <c r="G128" s="123">
        <f>+G127/716.4-1</f>
        <v>-0.18202121719709652</v>
      </c>
      <c r="H128" s="124"/>
      <c r="I128" s="123">
        <f>+I127/D127-1</f>
        <v>2.0696223316912974</v>
      </c>
      <c r="J128" s="123">
        <f>+J127/E127-1</f>
        <v>1.8886430678466075</v>
      </c>
      <c r="K128" s="123">
        <f>+K127/F127-1</f>
        <v>2.207395498392283</v>
      </c>
      <c r="L128" s="123">
        <f>+L127/G127-1</f>
        <v>2.0494880546075085</v>
      </c>
      <c r="M128" s="124"/>
      <c r="N128" s="123">
        <f>+N127/I127-1</f>
        <v>-8.7728682999893559E-3</v>
      </c>
      <c r="O128" s="123">
        <f>+O127/J127-1</f>
        <v>9.5225938218024053E-2</v>
      </c>
      <c r="P128" s="123">
        <f>+P127/K127-1</f>
        <v>-2.205513784461155E-2</v>
      </c>
      <c r="Q128" s="123">
        <f>+Q127/L127-1</f>
        <v>1.3430330162283122E-2</v>
      </c>
      <c r="R128" s="124"/>
      <c r="S128" s="154">
        <f>AVERAGE(Q128,P128,O128,N128)</f>
        <v>1.9457065558926567E-2</v>
      </c>
      <c r="T128" s="154">
        <f>AVERAGE(S128,Q128,P128,O128)</f>
        <v>2.6514549023655548E-2</v>
      </c>
      <c r="U128" s="154">
        <f>AVERAGE(T128,S128,Q128,P128)</f>
        <v>9.3367017250634218E-3</v>
      </c>
      <c r="V128" s="154">
        <f>AVERAGE(U128,T128,S128,Q128)</f>
        <v>1.7184661617482166E-2</v>
      </c>
      <c r="W128" s="124"/>
      <c r="X128" s="154">
        <f>AVERAGE(V128,U128,T128,S128)</f>
        <v>1.8123244481281928E-2</v>
      </c>
      <c r="Y128" s="154">
        <f>AVERAGE(X128,V128,U128,T128)</f>
        <v>1.7789789211870764E-2</v>
      </c>
      <c r="Z128" s="154">
        <f>AVERAGE(Y128,X128,V128,U128)</f>
        <v>1.560859925892457E-2</v>
      </c>
      <c r="AA128" s="154">
        <f>AVERAGE(Z128,Y128,X128,V128)</f>
        <v>1.7176573642389857E-2</v>
      </c>
      <c r="AB128" s="124"/>
      <c r="AC128" s="154">
        <f>AVERAGE(AA128,Z128,Y128,X128)</f>
        <v>1.7174551648616782E-2</v>
      </c>
      <c r="AD128" s="154">
        <f>AVERAGE(AC128,AA128,Z128,Y128)</f>
        <v>1.6937378440450492E-2</v>
      </c>
      <c r="AE128" s="154">
        <f>AVERAGE(AD128,AC128,AA128,Z128)</f>
        <v>1.6724275747595427E-2</v>
      </c>
      <c r="AF128" s="154">
        <f>AVERAGE(AE128,AD128,AC128,AA128)</f>
        <v>1.7003194869763139E-2</v>
      </c>
      <c r="AG128" s="124"/>
      <c r="AH128" s="154">
        <f>AVERAGE(AF128,AE128,AD128,AC128)</f>
        <v>1.6959850176606457E-2</v>
      </c>
      <c r="AI128" s="154">
        <f>AVERAGE(AH128,AF128,AE128,AD128)</f>
        <v>1.6906174808603881E-2</v>
      </c>
      <c r="AJ128" s="154">
        <f>AVERAGE(AI128,AH128,AF128,AE128)</f>
        <v>1.6898373900642225E-2</v>
      </c>
      <c r="AK128" s="154">
        <f>AVERAGE(AJ128,AI128,AH128,AF128)</f>
        <v>1.6941898438903927E-2</v>
      </c>
      <c r="AL128" s="124"/>
      <c r="AM128" s="154">
        <f>AVERAGE(AK128,AJ128,AI128,AH128)</f>
        <v>1.6926574331189125E-2</v>
      </c>
      <c r="AN128" s="154">
        <f>AVERAGE(AM128,AK128,AJ128,AI128)</f>
        <v>1.6918255369834788E-2</v>
      </c>
      <c r="AO128" s="154">
        <f>AVERAGE(AN128,AM128,AK128,AJ128)</f>
        <v>1.6921275510142515E-2</v>
      </c>
      <c r="AP128" s="154">
        <f>AVERAGE(AO128,AN128,AM128,AK128)</f>
        <v>1.692700091251759E-2</v>
      </c>
      <c r="AQ128" s="124"/>
    </row>
    <row r="129" spans="2:43" outlineLevel="2" x14ac:dyDescent="0.25">
      <c r="B129" s="104" t="s">
        <v>163</v>
      </c>
      <c r="C129" s="105"/>
      <c r="D129" s="107">
        <v>0.92</v>
      </c>
      <c r="E129" s="107">
        <v>0.75</v>
      </c>
      <c r="F129" s="107">
        <v>0.76</v>
      </c>
      <c r="G129" s="107">
        <v>0.73</v>
      </c>
      <c r="H129" s="113"/>
      <c r="I129" s="107">
        <v>0.76400000000000001</v>
      </c>
      <c r="J129" s="107">
        <v>0.755</v>
      </c>
      <c r="K129" s="107">
        <v>0.68</v>
      </c>
      <c r="L129" s="107">
        <v>0.73</v>
      </c>
      <c r="M129" s="113"/>
      <c r="N129" s="107">
        <v>0.69</v>
      </c>
      <c r="O129" s="107">
        <v>0.67</v>
      </c>
      <c r="P129" s="107">
        <v>0.71</v>
      </c>
      <c r="Q129" s="107">
        <v>0.78</v>
      </c>
      <c r="R129" s="113"/>
      <c r="S129" s="107">
        <f>+N129*(1+S130)</f>
        <v>0.67329671762622711</v>
      </c>
      <c r="T129" s="107">
        <f>+O129*(1+T130)</f>
        <v>0.66594991041266682</v>
      </c>
      <c r="U129" s="107">
        <f>+P129*(1+U130)</f>
        <v>0.7246185862328508</v>
      </c>
      <c r="V129" s="107">
        <f>+Q129*(1+V130)</f>
        <v>0.79147187794610618</v>
      </c>
      <c r="W129" s="113"/>
      <c r="X129" s="107">
        <f>+S129*(1+X130)</f>
        <v>0.67414583373920678</v>
      </c>
      <c r="Y129" s="107">
        <f>+T129*(1+Y130)</f>
        <v>0.67102999545763742</v>
      </c>
      <c r="Z129" s="107">
        <f>+U129*(1+Z130)</f>
        <v>0.73262318599795984</v>
      </c>
      <c r="AA129" s="107">
        <f>+V129*(1+AA130)</f>
        <v>0.7983267438085061</v>
      </c>
      <c r="AB129" s="113"/>
      <c r="AC129" s="107">
        <f>+X129*(1+AC130)</f>
        <v>0.67896547233513382</v>
      </c>
      <c r="AD129" s="107">
        <f>+Y129*(1+AD130)</f>
        <v>0.6768151344411566</v>
      </c>
      <c r="AE129" s="107">
        <f>+Z129*(1+AE130)</f>
        <v>0.73912120239469892</v>
      </c>
      <c r="AF129" s="107">
        <f>+AA129*(1+AF130)</f>
        <v>0.80497300633493496</v>
      </c>
      <c r="AG129" s="113"/>
      <c r="AH129" s="107">
        <f>+AC129*(1+AH130)</f>
        <v>0.68456104677456042</v>
      </c>
      <c r="AI129" s="107">
        <f>+AD129*(1+AI130)</f>
        <v>0.68257776992636265</v>
      </c>
      <c r="AJ129" s="107">
        <f>+AE129*(1+AJ130)</f>
        <v>0.7453945725864437</v>
      </c>
      <c r="AK129" s="107">
        <f>+AF129*(1+AK130)</f>
        <v>0.81172844320005466</v>
      </c>
      <c r="AL129" s="113"/>
      <c r="AM129" s="107">
        <f>+AH129*(1+AM130)</f>
        <v>0.69031741814633663</v>
      </c>
      <c r="AN129" s="107">
        <f>+AI129*(1+AN130)</f>
        <v>0.68834605165484197</v>
      </c>
      <c r="AO129" s="107">
        <f>+AJ129*(1+AO130)</f>
        <v>0.75168184862604681</v>
      </c>
      <c r="AP129" s="107">
        <f>+AK129*(1+AP130)</f>
        <v>0.81856452387356093</v>
      </c>
      <c r="AQ129" s="113"/>
    </row>
    <row r="130" spans="2:43" outlineLevel="2" x14ac:dyDescent="0.25">
      <c r="B130" s="122" t="s">
        <v>171</v>
      </c>
      <c r="C130" s="105"/>
      <c r="D130" s="123">
        <f>+D129/1.07-1</f>
        <v>-0.14018691588785048</v>
      </c>
      <c r="E130" s="123">
        <f>+E129/1.07-1</f>
        <v>-0.2990654205607477</v>
      </c>
      <c r="F130" s="123">
        <f>+F129/1-1</f>
        <v>-0.24</v>
      </c>
      <c r="G130" s="123">
        <f>+G129/1.01-1</f>
        <v>-0.27722772277227725</v>
      </c>
      <c r="H130" s="124"/>
      <c r="I130" s="123">
        <f>+I129/D129-1</f>
        <v>-0.16956521739130437</v>
      </c>
      <c r="J130" s="123">
        <f>+J129/E129-1</f>
        <v>6.6666666666665986E-3</v>
      </c>
      <c r="K130" s="123">
        <f>+K129/F129-1</f>
        <v>-0.10526315789473684</v>
      </c>
      <c r="L130" s="123">
        <f>+L129/G129-1</f>
        <v>0</v>
      </c>
      <c r="M130" s="124"/>
      <c r="N130" s="123">
        <f>+N129/I129-1</f>
        <v>-9.6858638743455572E-2</v>
      </c>
      <c r="O130" s="123">
        <f>+O129/J129-1</f>
        <v>-0.11258278145695355</v>
      </c>
      <c r="P130" s="123">
        <f>+P129/K129-1</f>
        <v>4.4117647058823373E-2</v>
      </c>
      <c r="Q130" s="123">
        <f>+Q129/L129-1</f>
        <v>6.8493150684931559E-2</v>
      </c>
      <c r="R130" s="124"/>
      <c r="S130" s="154">
        <f>AVERAGE(Q130,P130,O130,N130)</f>
        <v>-2.4207655614163548E-2</v>
      </c>
      <c r="T130" s="154">
        <f>AVERAGE(S130,Q130,P130,O130)</f>
        <v>-6.044909831840542E-3</v>
      </c>
      <c r="U130" s="154">
        <f>AVERAGE(T130,S130,Q130,P130)</f>
        <v>2.058955807443771E-2</v>
      </c>
      <c r="V130" s="154">
        <f>AVERAGE(U130,T130,S130,Q130)</f>
        <v>1.4707535828341296E-2</v>
      </c>
      <c r="W130" s="124"/>
      <c r="X130" s="154">
        <f>AVERAGE(V130,U130,T130,S130)</f>
        <v>1.261132114193729E-3</v>
      </c>
      <c r="Y130" s="154">
        <f>AVERAGE(X130,V130,U130,T130)</f>
        <v>7.6283290462830482E-3</v>
      </c>
      <c r="Z130" s="154">
        <f>AVERAGE(Y130,X130,V130,U130)</f>
        <v>1.1046638765813944E-2</v>
      </c>
      <c r="AA130" s="154">
        <f>AVERAGE(Z130,Y130,X130,V130)</f>
        <v>8.6609089386580039E-3</v>
      </c>
      <c r="AB130" s="124"/>
      <c r="AC130" s="154">
        <f>AVERAGE(AA130,Z130,Y130,X130)</f>
        <v>7.149252216237181E-3</v>
      </c>
      <c r="AD130" s="154">
        <f>AVERAGE(AC130,AA130,Z130,Y130)</f>
        <v>8.6212822417480444E-3</v>
      </c>
      <c r="AE130" s="154">
        <f>AVERAGE(AD130,AC130,AA130,Z130)</f>
        <v>8.8695205406142934E-3</v>
      </c>
      <c r="AF130" s="154">
        <f>AVERAGE(AE130,AD130,AC130,AA130)</f>
        <v>8.3252409843143811E-3</v>
      </c>
      <c r="AG130" s="124"/>
      <c r="AH130" s="154">
        <f>AVERAGE(AF130,AE130,AD130,AC130)</f>
        <v>8.2413239957284754E-3</v>
      </c>
      <c r="AI130" s="154">
        <f>AVERAGE(AH130,AF130,AE130,AD130)</f>
        <v>8.5143419406012999E-3</v>
      </c>
      <c r="AJ130" s="154">
        <f>AVERAGE(AI130,AH130,AF130,AE130)</f>
        <v>8.4876068653146116E-3</v>
      </c>
      <c r="AK130" s="154">
        <f>AVERAGE(AJ130,AI130,AH130,AF130)</f>
        <v>8.3921284464896911E-3</v>
      </c>
      <c r="AL130" s="124"/>
      <c r="AM130" s="154">
        <f>AVERAGE(AK130,AJ130,AI130,AH130)</f>
        <v>8.4088503120335195E-3</v>
      </c>
      <c r="AN130" s="154">
        <f>AVERAGE(AM130,AK130,AJ130,AI130)</f>
        <v>8.450731891109781E-3</v>
      </c>
      <c r="AO130" s="154">
        <f>AVERAGE(AN130,AM130,AK130,AJ130)</f>
        <v>8.4348293787369008E-3</v>
      </c>
      <c r="AP130" s="154">
        <f>AVERAGE(AO130,AN130,AM130,AK130)</f>
        <v>8.4216350070924727E-3</v>
      </c>
      <c r="AQ130" s="124"/>
    </row>
    <row r="131" spans="2:43" outlineLevel="2" x14ac:dyDescent="0.25">
      <c r="B131" s="563" t="s">
        <v>304</v>
      </c>
      <c r="C131" s="564"/>
      <c r="D131" s="123"/>
      <c r="E131" s="123"/>
      <c r="F131" s="123"/>
      <c r="G131" s="123"/>
      <c r="H131" s="124"/>
      <c r="I131" s="123"/>
      <c r="J131" s="123"/>
      <c r="K131" s="123"/>
      <c r="L131" s="123"/>
      <c r="M131" s="124"/>
      <c r="N131" s="123"/>
      <c r="O131" s="145">
        <v>9</v>
      </c>
      <c r="P131" s="145">
        <v>7</v>
      </c>
      <c r="Q131" s="123"/>
      <c r="R131" s="124"/>
      <c r="S131" s="119"/>
      <c r="T131" s="119"/>
      <c r="U131" s="119"/>
      <c r="V131" s="119"/>
      <c r="W131" s="124"/>
      <c r="X131" s="119"/>
      <c r="Y131" s="119"/>
      <c r="Z131" s="119"/>
      <c r="AA131" s="119"/>
      <c r="AB131" s="124"/>
      <c r="AC131" s="119"/>
      <c r="AD131" s="119"/>
      <c r="AE131" s="119"/>
      <c r="AF131" s="119"/>
      <c r="AG131" s="124"/>
      <c r="AH131" s="119"/>
      <c r="AI131" s="119"/>
      <c r="AJ131" s="119"/>
      <c r="AK131" s="119"/>
      <c r="AL131" s="124"/>
      <c r="AM131" s="119"/>
      <c r="AN131" s="119"/>
      <c r="AO131" s="119"/>
      <c r="AP131" s="119"/>
      <c r="AQ131" s="124"/>
    </row>
    <row r="132" spans="2:43" outlineLevel="2" x14ac:dyDescent="0.25">
      <c r="B132" s="109" t="s">
        <v>164</v>
      </c>
      <c r="C132" s="108"/>
      <c r="D132" s="125">
        <f>+D127*D129*D59/1000</f>
        <v>36.418199999999999</v>
      </c>
      <c r="E132" s="125">
        <f>+E127*E129*E59/1000</f>
        <v>32.035499999999999</v>
      </c>
      <c r="F132" s="125">
        <f>+F127*F129*F59/1000</f>
        <v>29.781359999999999</v>
      </c>
      <c r="G132" s="125">
        <f>+G127*G129*G59/1000</f>
        <v>27.805699999999998</v>
      </c>
      <c r="H132" s="114"/>
      <c r="I132" s="125">
        <f>+I127*I129*I59/1000</f>
        <v>92.834404000000006</v>
      </c>
      <c r="J132" s="125">
        <f>+J127*J129*J59/1000</f>
        <v>93.156052500000001</v>
      </c>
      <c r="K132" s="125">
        <f>+K127*K129*K59/1000</f>
        <v>84.109200000000016</v>
      </c>
      <c r="L132" s="125">
        <f>+L127*L129*L59/1000</f>
        <v>84.793149999999997</v>
      </c>
      <c r="M132" s="114"/>
      <c r="N132" s="125">
        <f>+N127*N129*N59/1000</f>
        <v>83.107050000000001</v>
      </c>
      <c r="O132" s="125">
        <f>+O127*O129*O59/1000+O131</f>
        <v>99.540450000000007</v>
      </c>
      <c r="P132" s="125">
        <f>+P127*P129*P59/1000+P131</f>
        <v>92.883020000000002</v>
      </c>
      <c r="Q132" s="125">
        <f>+Q127*Q129*Q59/1000</f>
        <v>91.817700000000016</v>
      </c>
      <c r="R132" s="114"/>
      <c r="S132" s="125">
        <f>+S127*S129*S59/1000</f>
        <v>82.673098227923631</v>
      </c>
      <c r="T132" s="125">
        <f>+T127*T129*T59/1000</f>
        <v>92.37926869626088</v>
      </c>
      <c r="U132" s="125">
        <f>+U127*U129*U59/1000</f>
        <v>88.469687597184432</v>
      </c>
      <c r="V132" s="125">
        <f>+V127*V129*V59/1000</f>
        <v>94.769174592617574</v>
      </c>
      <c r="W132" s="114"/>
      <c r="X132" s="125">
        <f>+X127*X129*X59/1000</f>
        <v>84.277554258552271</v>
      </c>
      <c r="Y132" s="125">
        <f>+Y127*Y129*Y59/1000</f>
        <v>94.739912327411702</v>
      </c>
      <c r="Z132" s="125">
        <f>+Z127*Z129*Z59/1000</f>
        <v>90.843122347871969</v>
      </c>
      <c r="AA132" s="125">
        <f>+AA127*AA129*AA59/1000</f>
        <v>97.23186980201136</v>
      </c>
      <c r="AB132" s="114"/>
      <c r="AC132" s="125">
        <f>+AC127*AC129*AC59/1000</f>
        <v>86.337852995023127</v>
      </c>
      <c r="AD132" s="125">
        <f>+AD127*AD129*AD59/1000</f>
        <v>97.175171703545132</v>
      </c>
      <c r="AE132" s="125">
        <f>+AE127*AE129*AE59/1000</f>
        <v>93.181618048738272</v>
      </c>
      <c r="AF132" s="125">
        <f>+AF127*AF129*AF59/1000</f>
        <v>99.708364704149602</v>
      </c>
      <c r="AG132" s="114"/>
      <c r="AH132" s="125">
        <f>+AH127*AH129*AH59/1000</f>
        <v>88.525735847615948</v>
      </c>
      <c r="AI132" s="125">
        <f>+AI127*AI129*AI59/1000</f>
        <v>99.659402658987787</v>
      </c>
      <c r="AJ132" s="125">
        <f>+AJ127*AJ129*AJ59/1000</f>
        <v>95.560489549304393</v>
      </c>
      <c r="AK132" s="125">
        <f>+AK127*AK129*AK59/1000</f>
        <v>102.2485554907513</v>
      </c>
      <c r="AL132" s="114"/>
      <c r="AM132" s="125">
        <f>+AM127*AM129*AM59/1000</f>
        <v>90.781173093371635</v>
      </c>
      <c r="AN132" s="125">
        <f>+AN127*AN129*AN59/1000</f>
        <v>102.2019092437361</v>
      </c>
      <c r="AO132" s="125">
        <f>+AO127*AO129*AO59/1000</f>
        <v>97.9971705099627</v>
      </c>
      <c r="AP132" s="125">
        <f>+AP127*AP129*AP59/1000</f>
        <v>104.85499273792098</v>
      </c>
      <c r="AQ132" s="114"/>
    </row>
    <row r="133" spans="2:43" ht="15.75" x14ac:dyDescent="0.25">
      <c r="B133" s="532" t="s">
        <v>174</v>
      </c>
      <c r="C133" s="540"/>
      <c r="D133" s="67" t="s">
        <v>52</v>
      </c>
      <c r="E133" s="67" t="s">
        <v>55</v>
      </c>
      <c r="F133" s="67" t="s">
        <v>56</v>
      </c>
      <c r="G133" s="67" t="s">
        <v>60</v>
      </c>
      <c r="H133" s="403"/>
      <c r="I133" s="67" t="s">
        <v>62</v>
      </c>
      <c r="J133" s="67" t="s">
        <v>73</v>
      </c>
      <c r="K133" s="67" t="s">
        <v>77</v>
      </c>
      <c r="L133" s="67" t="s">
        <v>81</v>
      </c>
      <c r="M133" s="403"/>
      <c r="N133" s="67" t="s">
        <v>83</v>
      </c>
      <c r="O133" s="67" t="s">
        <v>84</v>
      </c>
      <c r="P133" s="67" t="s">
        <v>85</v>
      </c>
      <c r="Q133" s="67" t="s">
        <v>86</v>
      </c>
      <c r="R133" s="403"/>
      <c r="S133" s="69" t="s">
        <v>344</v>
      </c>
      <c r="T133" s="69" t="s">
        <v>345</v>
      </c>
      <c r="U133" s="69" t="s">
        <v>346</v>
      </c>
      <c r="V133" s="69" t="s">
        <v>347</v>
      </c>
      <c r="W133" s="407"/>
      <c r="X133" s="69" t="s">
        <v>349</v>
      </c>
      <c r="Y133" s="69" t="s">
        <v>350</v>
      </c>
      <c r="Z133" s="69" t="s">
        <v>351</v>
      </c>
      <c r="AA133" s="69" t="s">
        <v>352</v>
      </c>
      <c r="AB133" s="407"/>
      <c r="AC133" s="69" t="s">
        <v>354</v>
      </c>
      <c r="AD133" s="69" t="s">
        <v>355</v>
      </c>
      <c r="AE133" s="69" t="s">
        <v>356</v>
      </c>
      <c r="AF133" s="69" t="s">
        <v>357</v>
      </c>
      <c r="AG133" s="407"/>
      <c r="AH133" s="69" t="s">
        <v>359</v>
      </c>
      <c r="AI133" s="69" t="s">
        <v>360</v>
      </c>
      <c r="AJ133" s="69" t="s">
        <v>361</v>
      </c>
      <c r="AK133" s="69" t="s">
        <v>362</v>
      </c>
      <c r="AL133" s="407"/>
      <c r="AM133" s="69" t="s">
        <v>364</v>
      </c>
      <c r="AN133" s="69" t="s">
        <v>365</v>
      </c>
      <c r="AO133" s="69" t="s">
        <v>366</v>
      </c>
      <c r="AP133" s="69" t="s">
        <v>367</v>
      </c>
      <c r="AQ133" s="407"/>
    </row>
    <row r="134" spans="2:43" ht="15.75" x14ac:dyDescent="0.25">
      <c r="B134" s="296" t="s">
        <v>176</v>
      </c>
      <c r="C134" s="127"/>
      <c r="D134" s="134">
        <f>ROUND((3460-D142),0)</f>
        <v>0</v>
      </c>
      <c r="E134" s="134">
        <f>ROUND((3677-E142),0)</f>
        <v>0</v>
      </c>
      <c r="F134" s="134">
        <f>ROUND((4025-F142),0)</f>
        <v>0</v>
      </c>
      <c r="G134" s="134">
        <f>ROUND((3889-G142),0)</f>
        <v>0</v>
      </c>
      <c r="H134" s="165"/>
      <c r="I134" s="134">
        <f>ROUND((3893-I142),0)</f>
        <v>0</v>
      </c>
      <c r="J134" s="134">
        <f>ROUND((4017-J142),0)</f>
        <v>0</v>
      </c>
      <c r="K134" s="134">
        <f>ROUND((4297-K142),0)</f>
        <v>0</v>
      </c>
      <c r="L134" s="134">
        <f>ROUND((4296-L142),0)</f>
        <v>0</v>
      </c>
      <c r="M134" s="31"/>
      <c r="N134" s="134">
        <f>ROUND((4245-N142),0)</f>
        <v>0</v>
      </c>
      <c r="O134" s="134">
        <f>ROUND((4525-O142),0)</f>
        <v>0</v>
      </c>
      <c r="P134" s="134">
        <f>ROUND((4828-P142),0)</f>
        <v>0</v>
      </c>
      <c r="Q134" s="134">
        <f>ROUND((4797-Q142),0)</f>
        <v>0</v>
      </c>
      <c r="R134" s="31"/>
      <c r="S134" s="26"/>
      <c r="T134" s="26"/>
      <c r="U134" s="26"/>
      <c r="V134" s="26"/>
      <c r="W134" s="31"/>
      <c r="X134" s="26"/>
      <c r="Y134" s="26"/>
      <c r="Z134" s="26"/>
      <c r="AA134" s="26"/>
      <c r="AB134" s="31"/>
      <c r="AC134" s="26"/>
      <c r="AD134" s="26"/>
      <c r="AE134" s="26"/>
      <c r="AF134" s="26"/>
      <c r="AG134" s="31"/>
      <c r="AH134" s="26"/>
      <c r="AI134" s="26"/>
      <c r="AJ134" s="26"/>
      <c r="AK134" s="26"/>
      <c r="AL134" s="31"/>
      <c r="AM134" s="26"/>
      <c r="AN134" s="26"/>
      <c r="AO134" s="26"/>
      <c r="AP134" s="26"/>
      <c r="AQ134" s="31"/>
    </row>
    <row r="135" spans="2:43" outlineLevel="1" x14ac:dyDescent="0.25">
      <c r="B135" s="538" t="s">
        <v>342</v>
      </c>
      <c r="C135" s="539"/>
      <c r="D135" s="241">
        <v>6717.4</v>
      </c>
      <c r="E135" s="241">
        <v>7623.4</v>
      </c>
      <c r="F135" s="241">
        <v>8339.4</v>
      </c>
      <c r="G135" s="241">
        <v>7453.4</v>
      </c>
      <c r="H135" s="31"/>
      <c r="I135" s="241">
        <v>7389.4</v>
      </c>
      <c r="J135" s="241">
        <v>8005.4</v>
      </c>
      <c r="K135" s="241">
        <v>8522.4</v>
      </c>
      <c r="L135" s="241">
        <v>7700.4</v>
      </c>
      <c r="M135" s="31"/>
      <c r="N135" s="241">
        <v>7688.4</v>
      </c>
      <c r="O135" s="241">
        <v>8576.4</v>
      </c>
      <c r="P135" s="241">
        <v>8993.4</v>
      </c>
      <c r="Q135" s="241">
        <v>8125.4</v>
      </c>
      <c r="R135" s="31"/>
      <c r="S135" s="101">
        <f>+N135*(1+S136)</f>
        <v>8115.5834211356669</v>
      </c>
      <c r="T135" s="101">
        <f>+O135*(1+T136)</f>
        <v>9085.2956704374446</v>
      </c>
      <c r="U135" s="101">
        <f>+P135*(1+U136)</f>
        <v>9500.0811339932734</v>
      </c>
      <c r="V135" s="101">
        <f>+Q135*(1+V136)</f>
        <v>8585.3585272850105</v>
      </c>
      <c r="W135" s="27"/>
      <c r="X135" s="101">
        <f>+S135*(1+X136)</f>
        <v>8577.858270919307</v>
      </c>
      <c r="Y135" s="101">
        <f>+T135*(1+Y136)</f>
        <v>9605.984961213233</v>
      </c>
      <c r="Z135" s="101">
        <f>+U135*(1+Z136)</f>
        <v>10039.73159275276</v>
      </c>
      <c r="AA135" s="101">
        <f>+V135*(1+AA136)</f>
        <v>9074.0476782336773</v>
      </c>
      <c r="AB135" s="27"/>
      <c r="AC135" s="101">
        <f>+X135*(1+AC136)</f>
        <v>9066.7932908777948</v>
      </c>
      <c r="AD135" s="101">
        <f>+Y135*(1+AD136)</f>
        <v>10153.614782716879</v>
      </c>
      <c r="AE135" s="101">
        <f>+Z135*(1+AE136)</f>
        <v>10611.331030196043</v>
      </c>
      <c r="AF135" s="101">
        <f>+AA135*(1+AF136)</f>
        <v>9590.959557017497</v>
      </c>
      <c r="AG135" s="27"/>
      <c r="AH135" s="101">
        <f>+AC135*(1+AH136)</f>
        <v>9583.3933206568126</v>
      </c>
      <c r="AI135" s="101">
        <f>+AD135*(1+AI136)</f>
        <v>10732.081655129326</v>
      </c>
      <c r="AJ135" s="101">
        <f>+AE135*(1+AJ136)</f>
        <v>11215.774651813725</v>
      </c>
      <c r="AK135" s="101">
        <f>+AF135*(1+AK136)</f>
        <v>10137.348673904717</v>
      </c>
      <c r="AL135" s="27"/>
      <c r="AM135" s="101">
        <f>+AH135*(1+AM136)</f>
        <v>10129.359102744747</v>
      </c>
      <c r="AN135" s="101">
        <f>+AI135*(1+AN136)</f>
        <v>11343.468977328581</v>
      </c>
      <c r="AO135" s="101">
        <f>+AJ135*(1+AO136)</f>
        <v>11854.707767069805</v>
      </c>
      <c r="AP135" s="101">
        <f>+AK135*(1+AP136)</f>
        <v>10714.860062984731</v>
      </c>
      <c r="AQ135" s="27"/>
    </row>
    <row r="136" spans="2:43" outlineLevel="1" x14ac:dyDescent="0.25">
      <c r="B136" s="118" t="s">
        <v>172</v>
      </c>
      <c r="C136" s="288"/>
      <c r="D136" s="143">
        <f>+D135/6456-1</f>
        <v>4.0489467162329484E-2</v>
      </c>
      <c r="E136" s="143">
        <f>+E135/6967-1</f>
        <v>9.4215587770920095E-2</v>
      </c>
      <c r="F136" s="143">
        <f>+F135/7496-1</f>
        <v>0.11251334044823902</v>
      </c>
      <c r="G136" s="143">
        <f>+G135/6746-1</f>
        <v>0.10486214052772014</v>
      </c>
      <c r="H136" s="61"/>
      <c r="I136" s="143">
        <f>+I135/D135-1</f>
        <v>0.10003870545151394</v>
      </c>
      <c r="J136" s="143">
        <f>+J135/E135-1</f>
        <v>5.0108875304982092E-2</v>
      </c>
      <c r="K136" s="143">
        <f>+K135/F135-1</f>
        <v>2.1944024749982027E-2</v>
      </c>
      <c r="L136" s="143">
        <f>+L135/G135-1</f>
        <v>3.3139238468349985E-2</v>
      </c>
      <c r="M136" s="61"/>
      <c r="N136" s="143">
        <f>+N135/I135-1</f>
        <v>4.0463366443824977E-2</v>
      </c>
      <c r="O136" s="143">
        <f>+O135/J135-1</f>
        <v>7.132685437329811E-2</v>
      </c>
      <c r="P136" s="143">
        <f>+P135/K135-1</f>
        <v>5.5266122219093106E-2</v>
      </c>
      <c r="Q136" s="143">
        <f>+Q135/L135-1</f>
        <v>5.5191938081138536E-2</v>
      </c>
      <c r="R136" s="61"/>
      <c r="S136" s="154">
        <f>AVERAGE(Q136,P136,O136,N136)</f>
        <v>5.5562070279338682E-2</v>
      </c>
      <c r="T136" s="154">
        <f>AVERAGE(S136,Q136,P136,O136)</f>
        <v>5.9336746238217108E-2</v>
      </c>
      <c r="U136" s="154">
        <f>AVERAGE(T136,S136,Q136,P136)</f>
        <v>5.6339219204446858E-2</v>
      </c>
      <c r="V136" s="154">
        <f>AVERAGE(U136,T136,S136,Q136)</f>
        <v>5.6607493450785293E-2</v>
      </c>
      <c r="W136" s="34"/>
      <c r="X136" s="154">
        <f>AVERAGE(V136,U136,T136,S136)</f>
        <v>5.6961382293196985E-2</v>
      </c>
      <c r="Y136" s="154">
        <f>AVERAGE(X136,V136,U136,T136)</f>
        <v>5.7311210296661558E-2</v>
      </c>
      <c r="Z136" s="154">
        <f>AVERAGE(Y136,X136,V136,U136)</f>
        <v>5.6804826311272677E-2</v>
      </c>
      <c r="AA136" s="154">
        <f>AVERAGE(Z136,Y136,X136,V136)</f>
        <v>5.6921228087979128E-2</v>
      </c>
      <c r="AB136" s="34"/>
      <c r="AC136" s="154">
        <f>AVERAGE(AA136,Z136,Y136,X136)</f>
        <v>5.699966174727758E-2</v>
      </c>
      <c r="AD136" s="154">
        <f>AVERAGE(AC136,AA136,Z136,Y136)</f>
        <v>5.7009231610797732E-2</v>
      </c>
      <c r="AE136" s="154">
        <f>AVERAGE(AD136,AC136,AA136,Z136)</f>
        <v>5.6933736939331785E-2</v>
      </c>
      <c r="AF136" s="154">
        <f>AVERAGE(AE136,AD136,AC136,AA136)</f>
        <v>5.6965964596346549E-2</v>
      </c>
      <c r="AG136" s="34"/>
      <c r="AH136" s="154">
        <f>AVERAGE(AF136,AE136,AD136,AC136)</f>
        <v>5.6977148723438412E-2</v>
      </c>
      <c r="AI136" s="154">
        <f>AVERAGE(AH136,AF136,AE136,AD136)</f>
        <v>5.6971520467478623E-2</v>
      </c>
      <c r="AJ136" s="154">
        <f>AVERAGE(AI136,AH136,AF136,AE136)</f>
        <v>5.696209268164884E-2</v>
      </c>
      <c r="AK136" s="154">
        <f>AVERAGE(AJ136,AI136,AH136,AF136)</f>
        <v>5.696918161722811E-2</v>
      </c>
      <c r="AL136" s="34"/>
      <c r="AM136" s="154">
        <f>AVERAGE(AK136,AJ136,AI136,AH136)</f>
        <v>5.6969985872448489E-2</v>
      </c>
      <c r="AN136" s="154">
        <f>AVERAGE(AM136,AK136,AJ136,AI136)</f>
        <v>5.6968195159701016E-2</v>
      </c>
      <c r="AO136" s="154">
        <f>AVERAGE(AN136,AM136,AK136,AJ136)</f>
        <v>5.6967363832756614E-2</v>
      </c>
      <c r="AP136" s="154">
        <f>AVERAGE(AO136,AN136,AM136,AK136)</f>
        <v>5.6968681620533555E-2</v>
      </c>
      <c r="AQ136" s="34"/>
    </row>
    <row r="137" spans="2:43" outlineLevel="1" x14ac:dyDescent="0.25">
      <c r="B137" s="100" t="s">
        <v>175</v>
      </c>
      <c r="C137" s="288"/>
      <c r="D137" s="120">
        <v>7.9139999999999997</v>
      </c>
      <c r="E137" s="120">
        <v>7.6440000000000001</v>
      </c>
      <c r="F137" s="120">
        <v>7.6539999999999999</v>
      </c>
      <c r="G137" s="120">
        <v>8.0139999999999993</v>
      </c>
      <c r="H137" s="31"/>
      <c r="I137" s="120">
        <v>8.0939999999999994</v>
      </c>
      <c r="J137" s="120">
        <v>7.9539999999999997</v>
      </c>
      <c r="K137" s="120">
        <v>8.1240000000000006</v>
      </c>
      <c r="L137" s="120">
        <v>8.5739999999999998</v>
      </c>
      <c r="M137" s="31"/>
      <c r="N137" s="120">
        <v>8.4749999998999996</v>
      </c>
      <c r="O137" s="120">
        <v>8.3549999999000004</v>
      </c>
      <c r="P137" s="120">
        <v>8.6449999000000002</v>
      </c>
      <c r="Q137" s="120">
        <v>9.0500000000000007</v>
      </c>
      <c r="R137" s="31"/>
      <c r="S137" s="120">
        <f>+N137*(1+S138)</f>
        <v>8.9350535663980093</v>
      </c>
      <c r="T137" s="120">
        <f>+O137*(1+T138)</f>
        <v>8.8236029752406857</v>
      </c>
      <c r="U137" s="120">
        <f>+P137*(1+U138)</f>
        <v>9.1421258098446501</v>
      </c>
      <c r="V137" s="120">
        <f>+Q137*(1+V138)</f>
        <v>9.555422727408347</v>
      </c>
      <c r="W137" s="27"/>
      <c r="X137" s="120">
        <f>+S137*(1+X138)</f>
        <v>9.4347964680073311</v>
      </c>
      <c r="Y137" s="120">
        <f>+T137*(1+Y138)</f>
        <v>9.3207454809705776</v>
      </c>
      <c r="Z137" s="120">
        <f>+U137*(1+Z138)</f>
        <v>9.6577993142523884</v>
      </c>
      <c r="AA137" s="120">
        <f>+V137*(1+AA138)</f>
        <v>10.091785479061725</v>
      </c>
      <c r="AB137" s="27"/>
      <c r="AC137" s="120">
        <f>+X137*(1+AC138)</f>
        <v>9.9650580090215666</v>
      </c>
      <c r="AD137" s="120">
        <f>+Y137*(1+AD138)</f>
        <v>9.8452312124442631</v>
      </c>
      <c r="AE137" s="120">
        <f>+Z137*(1+AE138)</f>
        <v>10.201078564878904</v>
      </c>
      <c r="AF137" s="120">
        <f>+AA137*(1+AF138)</f>
        <v>10.659090696033536</v>
      </c>
      <c r="AG137" s="27"/>
      <c r="AH137" s="120">
        <f>+AC137*(1+AH138)</f>
        <v>10.525445544173641</v>
      </c>
      <c r="AI137" s="120">
        <f>+AD137*(1+AI138)</f>
        <v>10.398960243000497</v>
      </c>
      <c r="AJ137" s="120">
        <f>+AE137*(1+AJ138)</f>
        <v>10.774751730298092</v>
      </c>
      <c r="AK137" s="120">
        <f>+AF137*(1+AK138)</f>
        <v>11.258477214182284</v>
      </c>
      <c r="AL137" s="27"/>
      <c r="AM137" s="120">
        <f>+AH137*(1+AM138)</f>
        <v>11.117363897136238</v>
      </c>
      <c r="AN137" s="120">
        <f>+AI137*(1+AN138)</f>
        <v>10.983769724784498</v>
      </c>
      <c r="AO137" s="120">
        <f>+AJ137*(1+AO138)</f>
        <v>11.380678356974279</v>
      </c>
      <c r="AP137" s="120">
        <f>+AK137*(1+AP138)</f>
        <v>11.891604454092928</v>
      </c>
      <c r="AQ137" s="27"/>
    </row>
    <row r="138" spans="2:43" outlineLevel="1" x14ac:dyDescent="0.25">
      <c r="B138" s="118" t="s">
        <v>171</v>
      </c>
      <c r="C138" s="288"/>
      <c r="D138" s="143">
        <f>+D137/7.15-1</f>
        <v>0.10685314685314684</v>
      </c>
      <c r="E138" s="143">
        <f>+E137/6.96-1</f>
        <v>9.8275862068965436E-2</v>
      </c>
      <c r="F138" s="143">
        <f>+F137/7.06-1</f>
        <v>8.4135977337110424E-2</v>
      </c>
      <c r="G138" s="143">
        <f>+G137/7.49-1</f>
        <v>6.9959946595460565E-2</v>
      </c>
      <c r="H138" s="61"/>
      <c r="I138" s="143">
        <f>+I137/D137-1</f>
        <v>2.2744503411675554E-2</v>
      </c>
      <c r="J138" s="143">
        <f>+J137/E137-1</f>
        <v>4.055468341182622E-2</v>
      </c>
      <c r="K138" s="143">
        <f>+K137/F137-1</f>
        <v>6.14058008884244E-2</v>
      </c>
      <c r="L138" s="143">
        <f>+L137/G137-1</f>
        <v>6.9877714000499136E-2</v>
      </c>
      <c r="M138" s="61"/>
      <c r="N138" s="143">
        <f>+N137/I137-1</f>
        <v>4.707190510254522E-2</v>
      </c>
      <c r="O138" s="143">
        <f>+O137/J137-1</f>
        <v>5.0414885579582736E-2</v>
      </c>
      <c r="P138" s="143">
        <f>+P137/K137-1</f>
        <v>6.4130957656326926E-2</v>
      </c>
      <c r="Q138" s="143">
        <f>+Q137/L137-1</f>
        <v>5.5516678329834424E-2</v>
      </c>
      <c r="R138" s="61"/>
      <c r="S138" s="154">
        <f>AVERAGE(Q138,P138,O138,N138)</f>
        <v>5.4283606667072326E-2</v>
      </c>
      <c r="T138" s="154">
        <f>AVERAGE(S138,Q138,P138,O138)</f>
        <v>5.6086532058204103E-2</v>
      </c>
      <c r="U138" s="154">
        <f>AVERAGE(T138,S138,Q138,P138)</f>
        <v>5.7504443677859444E-2</v>
      </c>
      <c r="V138" s="154">
        <f>AVERAGE(U138,T138,S138,Q138)</f>
        <v>5.5847815183242576E-2</v>
      </c>
      <c r="W138" s="34"/>
      <c r="X138" s="154">
        <f>AVERAGE(V138,U138,T138,S138)</f>
        <v>5.5930599396594616E-2</v>
      </c>
      <c r="Y138" s="154">
        <f>AVERAGE(X138,V138,U138,T138)</f>
        <v>5.6342347578975188E-2</v>
      </c>
      <c r="Z138" s="154">
        <f>AVERAGE(Y138,X138,V138,U138)</f>
        <v>5.640630145916796E-2</v>
      </c>
      <c r="AA138" s="154">
        <f>AVERAGE(Z138,Y138,X138,V138)</f>
        <v>5.6131765904495083E-2</v>
      </c>
      <c r="AB138" s="34"/>
      <c r="AC138" s="154">
        <f>AVERAGE(AA138,Z138,Y138,X138)</f>
        <v>5.620275358480821E-2</v>
      </c>
      <c r="AD138" s="154">
        <f>AVERAGE(AC138,AA138,Z138,Y138)</f>
        <v>5.6270792131861612E-2</v>
      </c>
      <c r="AE138" s="154">
        <f>AVERAGE(AD138,AC138,AA138,Z138)</f>
        <v>5.6252903270083213E-2</v>
      </c>
      <c r="AF138" s="154">
        <f>AVERAGE(AE138,AD138,AC138,AA138)</f>
        <v>5.6214553722812033E-2</v>
      </c>
      <c r="AG138" s="34"/>
      <c r="AH138" s="154">
        <f>AVERAGE(AF138,AE138,AD138,AC138)</f>
        <v>5.6235250677391269E-2</v>
      </c>
      <c r="AI138" s="154">
        <f>AVERAGE(AH138,AF138,AE138,AD138)</f>
        <v>5.624337495053703E-2</v>
      </c>
      <c r="AJ138" s="154">
        <f>AVERAGE(AI138,AH138,AF138,AE138)</f>
        <v>5.6236520655205888E-2</v>
      </c>
      <c r="AK138" s="154">
        <f>AVERAGE(AJ138,AI138,AH138,AF138)</f>
        <v>5.6232425001486556E-2</v>
      </c>
      <c r="AL138" s="34"/>
      <c r="AM138" s="154">
        <f>AVERAGE(AK138,AJ138,AI138,AH138)</f>
        <v>5.6236892821155182E-2</v>
      </c>
      <c r="AN138" s="154">
        <f>AVERAGE(AM138,AK138,AJ138,AI138)</f>
        <v>5.6237303357096168E-2</v>
      </c>
      <c r="AO138" s="154">
        <f>AVERAGE(AN138,AM138,AK138,AJ138)</f>
        <v>5.6235785458735948E-2</v>
      </c>
      <c r="AP138" s="154">
        <f>AVERAGE(AO138,AN138,AM138,AK138)</f>
        <v>5.6235601659618467E-2</v>
      </c>
      <c r="AQ138" s="34"/>
    </row>
    <row r="139" spans="2:43" outlineLevel="1" x14ac:dyDescent="0.25">
      <c r="B139" s="100" t="s">
        <v>296</v>
      </c>
      <c r="C139" s="288"/>
      <c r="D139" s="116">
        <v>5</v>
      </c>
      <c r="E139" s="116">
        <v>6</v>
      </c>
      <c r="F139" s="116">
        <v>4</v>
      </c>
      <c r="G139" s="116">
        <v>6</v>
      </c>
      <c r="H139" s="31"/>
      <c r="I139" s="116">
        <v>5</v>
      </c>
      <c r="J139" s="116">
        <v>5</v>
      </c>
      <c r="K139" s="116">
        <v>4</v>
      </c>
      <c r="L139" s="116">
        <v>4</v>
      </c>
      <c r="M139" s="31"/>
      <c r="N139" s="116">
        <v>10</v>
      </c>
      <c r="O139" s="116">
        <v>11</v>
      </c>
      <c r="P139" s="116">
        <v>8</v>
      </c>
      <c r="Q139" s="116">
        <v>17</v>
      </c>
      <c r="R139" s="31"/>
      <c r="S139" s="101">
        <f>+N139*(1+S140)</f>
        <v>10</v>
      </c>
      <c r="T139" s="101">
        <f>+O139*(1+T140)</f>
        <v>11</v>
      </c>
      <c r="U139" s="101">
        <f>+P139*(1+U140)</f>
        <v>8</v>
      </c>
      <c r="V139" s="101">
        <f>+Q139*(1+V140)</f>
        <v>17</v>
      </c>
      <c r="W139" s="27"/>
      <c r="X139" s="101">
        <f>+S139*(1+X140)</f>
        <v>10</v>
      </c>
      <c r="Y139" s="101">
        <f>+T139*(1+Y140)</f>
        <v>11</v>
      </c>
      <c r="Z139" s="101">
        <f>+U139*(1+Z140)</f>
        <v>8</v>
      </c>
      <c r="AA139" s="101">
        <f>+V139*(1+AA140)</f>
        <v>17</v>
      </c>
      <c r="AB139" s="27"/>
      <c r="AC139" s="101">
        <f>+X139*(1+AC140)</f>
        <v>10</v>
      </c>
      <c r="AD139" s="101">
        <f>+Y139*(1+AD140)</f>
        <v>11</v>
      </c>
      <c r="AE139" s="101">
        <f>+Z139*(1+AE140)</f>
        <v>8</v>
      </c>
      <c r="AF139" s="101">
        <f>+AA139*(1+AF140)</f>
        <v>17</v>
      </c>
      <c r="AG139" s="27"/>
      <c r="AH139" s="101">
        <f>+AC139*(1+AH140)</f>
        <v>10</v>
      </c>
      <c r="AI139" s="101">
        <f>+AD139*(1+AI140)</f>
        <v>11</v>
      </c>
      <c r="AJ139" s="101">
        <f>+AE139*(1+AJ140)</f>
        <v>8</v>
      </c>
      <c r="AK139" s="101">
        <f>+AF139*(1+AK140)</f>
        <v>17</v>
      </c>
      <c r="AL139" s="27"/>
      <c r="AM139" s="101">
        <f>+AH139*(1+AM140)</f>
        <v>10</v>
      </c>
      <c r="AN139" s="101">
        <f>+AI139*(1+AN140)</f>
        <v>11</v>
      </c>
      <c r="AO139" s="101">
        <f>+AJ139*(1+AO140)</f>
        <v>8</v>
      </c>
      <c r="AP139" s="101">
        <f>+AK139*(1+AP140)</f>
        <v>17</v>
      </c>
      <c r="AQ139" s="27"/>
    </row>
    <row r="140" spans="2:43" outlineLevel="1" x14ac:dyDescent="0.25">
      <c r="B140" s="118" t="s">
        <v>294</v>
      </c>
      <c r="C140" s="288"/>
      <c r="D140" s="143"/>
      <c r="E140" s="143"/>
      <c r="F140" s="143"/>
      <c r="G140" s="143"/>
      <c r="H140" s="61"/>
      <c r="I140" s="143">
        <f>+I139/D139-1</f>
        <v>0</v>
      </c>
      <c r="J140" s="143">
        <f>+J139/E139-1</f>
        <v>-0.16666666666666663</v>
      </c>
      <c r="K140" s="143">
        <f>+K139/F139-1</f>
        <v>0</v>
      </c>
      <c r="L140" s="143">
        <f>+L139/G139-1</f>
        <v>-0.33333333333333337</v>
      </c>
      <c r="M140" s="61"/>
      <c r="N140" s="143">
        <f>+N139/I139-1</f>
        <v>1</v>
      </c>
      <c r="O140" s="143">
        <f>+O139/J139-1</f>
        <v>1.2000000000000002</v>
      </c>
      <c r="P140" s="143">
        <f>+P139/K139-1</f>
        <v>1</v>
      </c>
      <c r="Q140" s="143">
        <f>+Q139/L139-1</f>
        <v>3.25</v>
      </c>
      <c r="R140" s="61"/>
      <c r="S140" s="154">
        <v>0</v>
      </c>
      <c r="T140" s="154">
        <v>0</v>
      </c>
      <c r="U140" s="154">
        <v>0</v>
      </c>
      <c r="V140" s="154">
        <v>0</v>
      </c>
      <c r="W140" s="34"/>
      <c r="X140" s="154">
        <f>AVERAGE(V140,U140,T140,S140)</f>
        <v>0</v>
      </c>
      <c r="Y140" s="154">
        <f>AVERAGE(X140,V140,U140,T140)</f>
        <v>0</v>
      </c>
      <c r="Z140" s="154">
        <f>AVERAGE(Y140,X140,V140,U140)</f>
        <v>0</v>
      </c>
      <c r="AA140" s="154">
        <f>AVERAGE(Z140,Y140,X140,V140)</f>
        <v>0</v>
      </c>
      <c r="AB140" s="34"/>
      <c r="AC140" s="154">
        <f>AVERAGE(AA140,Z140,Y140,X140)</f>
        <v>0</v>
      </c>
      <c r="AD140" s="154">
        <f>AVERAGE(AC140,AA140,Z140,Y140)</f>
        <v>0</v>
      </c>
      <c r="AE140" s="154">
        <f>AVERAGE(AD140,AC140,AA140,Z140)</f>
        <v>0</v>
      </c>
      <c r="AF140" s="154">
        <f>AVERAGE(AE140,AD140,AC140,AA140)</f>
        <v>0</v>
      </c>
      <c r="AG140" s="34"/>
      <c r="AH140" s="154">
        <f>AVERAGE(AF140,AE140,AD140,AC140)</f>
        <v>0</v>
      </c>
      <c r="AI140" s="154">
        <f>AVERAGE(AH140,AF140,AE140,AD140)</f>
        <v>0</v>
      </c>
      <c r="AJ140" s="154">
        <f>AVERAGE(AI140,AH140,AF140,AE140)</f>
        <v>0</v>
      </c>
      <c r="AK140" s="154">
        <f>AVERAGE(AJ140,AI140,AH140,AF140)</f>
        <v>0</v>
      </c>
      <c r="AL140" s="34"/>
      <c r="AM140" s="154">
        <f>AVERAGE(AK140,AJ140,AI140,AH140)</f>
        <v>0</v>
      </c>
      <c r="AN140" s="154">
        <f>AVERAGE(AM140,AK140,AJ140,AI140)</f>
        <v>0</v>
      </c>
      <c r="AO140" s="154">
        <f>AVERAGE(AN140,AM140,AK140,AJ140)</f>
        <v>0</v>
      </c>
      <c r="AP140" s="154">
        <f>AVERAGE(AO140,AN140,AM140,AK140)</f>
        <v>0</v>
      </c>
      <c r="AQ140" s="34"/>
    </row>
    <row r="141" spans="2:43" x14ac:dyDescent="0.25">
      <c r="B141" s="292" t="s">
        <v>300</v>
      </c>
      <c r="C141" s="293"/>
      <c r="D141" s="116">
        <v>65</v>
      </c>
      <c r="E141" s="116">
        <v>63</v>
      </c>
      <c r="F141" s="116">
        <v>63</v>
      </c>
      <c r="G141" s="116">
        <v>65</v>
      </c>
      <c r="H141" s="31"/>
      <c r="I141" s="116">
        <v>65</v>
      </c>
      <c r="J141" s="116">
        <v>63</v>
      </c>
      <c r="K141" s="116">
        <v>62</v>
      </c>
      <c r="L141" s="116">
        <v>65</v>
      </c>
      <c r="M141" s="31"/>
      <c r="N141" s="116">
        <v>65</v>
      </c>
      <c r="O141" s="116">
        <v>63</v>
      </c>
      <c r="P141" s="116">
        <v>62</v>
      </c>
      <c r="Q141" s="116">
        <v>65</v>
      </c>
      <c r="R141" s="31"/>
      <c r="S141" s="117">
        <v>65</v>
      </c>
      <c r="T141" s="117">
        <v>63</v>
      </c>
      <c r="U141" s="117">
        <v>62</v>
      </c>
      <c r="V141" s="117">
        <v>65</v>
      </c>
      <c r="W141" s="31"/>
      <c r="X141" s="117">
        <v>65</v>
      </c>
      <c r="Y141" s="117">
        <v>63</v>
      </c>
      <c r="Z141" s="117">
        <v>62</v>
      </c>
      <c r="AA141" s="117">
        <v>65</v>
      </c>
      <c r="AB141" s="31"/>
      <c r="AC141" s="117">
        <v>65</v>
      </c>
      <c r="AD141" s="117">
        <v>63</v>
      </c>
      <c r="AE141" s="117">
        <v>62</v>
      </c>
      <c r="AF141" s="117">
        <v>65</v>
      </c>
      <c r="AG141" s="31"/>
      <c r="AH141" s="117">
        <v>65</v>
      </c>
      <c r="AI141" s="117">
        <v>63</v>
      </c>
      <c r="AJ141" s="117">
        <v>62</v>
      </c>
      <c r="AK141" s="117">
        <v>65</v>
      </c>
      <c r="AL141" s="31"/>
      <c r="AM141" s="117">
        <v>65</v>
      </c>
      <c r="AN141" s="117">
        <v>63</v>
      </c>
      <c r="AO141" s="117">
        <v>62</v>
      </c>
      <c r="AP141" s="117">
        <v>65</v>
      </c>
      <c r="AQ141" s="31"/>
    </row>
    <row r="142" spans="2:43" outlineLevel="1" x14ac:dyDescent="0.25">
      <c r="B142" s="96" t="s">
        <v>228</v>
      </c>
      <c r="C142" s="97"/>
      <c r="D142" s="121">
        <f>(D135*D137*D141/1000)+D139</f>
        <v>3460.4977339999996</v>
      </c>
      <c r="E142" s="121">
        <f>(E135*E137*E141/1000)+E139</f>
        <v>3677.2159847999997</v>
      </c>
      <c r="F142" s="121">
        <f>(F135*F137*F141/1000)+F139</f>
        <v>4025.2753588</v>
      </c>
      <c r="G142" s="121">
        <f>(G135*G137*G141/1000)+G139</f>
        <v>3888.5505939999994</v>
      </c>
      <c r="H142" s="33"/>
      <c r="I142" s="121">
        <f>(I135*I137*I141/1000)+I139</f>
        <v>3892.6372339999998</v>
      </c>
      <c r="J142" s="121">
        <f>(J135*J137*J141/1000)+J139</f>
        <v>4016.5219507999996</v>
      </c>
      <c r="K142" s="121">
        <f>(K135*K137*K141/1000)+K139</f>
        <v>4296.6306112000002</v>
      </c>
      <c r="L142" s="121">
        <f>(L135*L137*L141/1000)+L139</f>
        <v>4295.509924</v>
      </c>
      <c r="M142" s="33"/>
      <c r="N142" s="121">
        <f>(N135*N137*N141/1000)+N139</f>
        <v>4245.3473499500251</v>
      </c>
      <c r="O142" s="121">
        <f>(O135*O137*O141/1000)+O139</f>
        <v>4525.3167859459691</v>
      </c>
      <c r="P142" s="121">
        <f>(P135*P137*P141/1000)+P139</f>
        <v>4828.3724102409205</v>
      </c>
      <c r="Q142" s="121">
        <f>(Q135*Q137*Q141/1000)+Q139</f>
        <v>4796.7665499999994</v>
      </c>
      <c r="R142" s="33"/>
      <c r="S142" s="121">
        <f>(S135*S137*S141/1000)+S139</f>
        <v>4723.356218377221</v>
      </c>
      <c r="T142" s="121">
        <f>(T135*T137*T141/1000)+T139</f>
        <v>5061.3976402426288</v>
      </c>
      <c r="U142" s="121">
        <f>(U135*U137*U141/1000)+U139</f>
        <v>5392.758089703284</v>
      </c>
      <c r="V142" s="121">
        <f>(V135*V137*V141/1000)+V139</f>
        <v>5349.3874496469361</v>
      </c>
      <c r="W142" s="28"/>
      <c r="X142" s="121">
        <f>(X135*X137*X141/1000)+X139</f>
        <v>5270.4725496399024</v>
      </c>
      <c r="Y142" s="121">
        <f>(Y135*Y137*Y141/1000)+Y139</f>
        <v>5651.7012778024728</v>
      </c>
      <c r="Z142" s="121">
        <f>(Z135*Z137*Z141/1000)+Z139</f>
        <v>6019.6261992894688</v>
      </c>
      <c r="AA142" s="121">
        <f>(AA135*AA137*AA141/1000)+AA139</f>
        <v>5969.2672687083041</v>
      </c>
      <c r="AB142" s="28"/>
      <c r="AC142" s="121">
        <f>(AC135*AC137*AC141/1000)+AC139</f>
        <v>5882.8228714613106</v>
      </c>
      <c r="AD142" s="121">
        <f>(AD135*AD137*AD141/1000)+AD139</f>
        <v>6308.775166210201</v>
      </c>
      <c r="AE142" s="121">
        <f>(AE135*AE137*AE141/1000)+AE139</f>
        <v>6719.3153340519684</v>
      </c>
      <c r="AF142" s="121">
        <f>(AF135*AF137*AF141/1000)+AF139</f>
        <v>6662.009005715543</v>
      </c>
      <c r="AG142" s="28"/>
      <c r="AH142" s="121">
        <f>(AH135*AH137*AH141/1000)+AH139</f>
        <v>6566.5164941230951</v>
      </c>
      <c r="AI142" s="121">
        <f>(AI135*AI137*AI141/1000)+AI139</f>
        <v>7041.9568987484645</v>
      </c>
      <c r="AJ142" s="121">
        <f>(AJ135*AJ137*AJ141/1000)+AJ139</f>
        <v>7500.5256148483322</v>
      </c>
      <c r="AK142" s="121">
        <f>(AK135*AK137*AK141/1000)+AK139</f>
        <v>7435.52208872952</v>
      </c>
      <c r="AL142" s="28"/>
      <c r="AM142" s="121">
        <f>(AM135*AM137*AM141/1000)+AM139</f>
        <v>7329.76512734888</v>
      </c>
      <c r="AN142" s="121">
        <f>(AN135*AN137*AN141/1000)+AN139</f>
        <v>7860.4252210144714</v>
      </c>
      <c r="AO142" s="121">
        <f>(AO135*AO137*AO141/1000)+AO139</f>
        <v>8372.706199002665</v>
      </c>
      <c r="AP142" s="121">
        <f>(AP135*AP137*AP141/1000)+AP139</f>
        <v>8299.0970472481586</v>
      </c>
      <c r="AQ142" s="28"/>
    </row>
    <row r="143" spans="2:43" outlineLevel="1" x14ac:dyDescent="0.25">
      <c r="B143" s="112" t="s">
        <v>229</v>
      </c>
      <c r="C143" s="111"/>
      <c r="D143" s="321">
        <f>ROUND((524-D148),0)</f>
        <v>0</v>
      </c>
      <c r="E143" s="321">
        <f>ROUND((511-E148),0)</f>
        <v>0</v>
      </c>
      <c r="F143" s="321">
        <f>ROUND((549-F148),0)</f>
        <v>0</v>
      </c>
      <c r="G143" s="321">
        <f>ROUND((656-G148),0)</f>
        <v>0</v>
      </c>
      <c r="H143" s="113"/>
      <c r="I143" s="321">
        <f>ROUND((605-I148),0)</f>
        <v>0</v>
      </c>
      <c r="J143" s="321">
        <f>ROUND((459-J148),0)</f>
        <v>0</v>
      </c>
      <c r="K143" s="321">
        <f>ROUND((511-K148),0)</f>
        <v>0</v>
      </c>
      <c r="L143" s="321">
        <f>ROUND((704-L148),0)</f>
        <v>0</v>
      </c>
      <c r="M143" s="113"/>
      <c r="N143" s="321">
        <f>ROUND((625-N148),0)</f>
        <v>0</v>
      </c>
      <c r="O143" s="321">
        <f>ROUND((515-O148),0)</f>
        <v>0</v>
      </c>
      <c r="P143" s="321">
        <f>ROUND((633-P148),0)</f>
        <v>0</v>
      </c>
      <c r="Q143" s="321">
        <f>ROUND((831-Q148),0)</f>
        <v>0</v>
      </c>
      <c r="R143" s="124"/>
      <c r="S143" s="322"/>
      <c r="T143" s="322"/>
      <c r="U143" s="322"/>
      <c r="V143" s="322"/>
      <c r="W143" s="113"/>
      <c r="X143" s="322"/>
      <c r="Y143" s="322"/>
      <c r="Z143" s="322"/>
      <c r="AA143" s="322"/>
      <c r="AB143" s="113"/>
      <c r="AC143" s="322"/>
      <c r="AD143" s="322"/>
      <c r="AE143" s="322"/>
      <c r="AF143" s="322"/>
      <c r="AG143" s="113"/>
      <c r="AH143" s="322"/>
      <c r="AI143" s="322"/>
      <c r="AJ143" s="322"/>
      <c r="AK143" s="322"/>
      <c r="AL143" s="113"/>
      <c r="AM143" s="322"/>
      <c r="AN143" s="322"/>
      <c r="AO143" s="322"/>
      <c r="AP143" s="322"/>
      <c r="AQ143" s="113"/>
    </row>
    <row r="144" spans="2:43" outlineLevel="1" x14ac:dyDescent="0.25">
      <c r="B144" s="104" t="s">
        <v>126</v>
      </c>
      <c r="C144" s="111"/>
      <c r="D144" s="145">
        <v>3</v>
      </c>
      <c r="E144" s="145">
        <v>2</v>
      </c>
      <c r="F144" s="145">
        <v>3</v>
      </c>
      <c r="G144" s="145">
        <v>2</v>
      </c>
      <c r="H144" s="113"/>
      <c r="I144" s="145">
        <v>2</v>
      </c>
      <c r="J144" s="145">
        <v>3</v>
      </c>
      <c r="K144" s="145">
        <v>3</v>
      </c>
      <c r="L144" s="145">
        <v>2</v>
      </c>
      <c r="M144" s="113"/>
      <c r="N144" s="145">
        <v>2</v>
      </c>
      <c r="O144" s="145">
        <v>4</v>
      </c>
      <c r="P144" s="145">
        <v>4</v>
      </c>
      <c r="Q144" s="145">
        <v>3</v>
      </c>
      <c r="R144" s="113"/>
      <c r="S144" s="117">
        <f>AVERAGE(Q144,P144,O144,N144)</f>
        <v>3.25</v>
      </c>
      <c r="T144" s="117">
        <f>AVERAGE(S144,Q144,P144,O144)</f>
        <v>3.5625</v>
      </c>
      <c r="U144" s="117">
        <f>AVERAGE(T144,S144,Q144,P144)</f>
        <v>3.453125</v>
      </c>
      <c r="V144" s="117">
        <f>AVERAGE(U144,T144,S144,Q144)</f>
        <v>3.31640625</v>
      </c>
      <c r="W144" s="113"/>
      <c r="X144" s="117">
        <f>AVERAGE(V144,U144,T144,S144)</f>
        <v>3.3955078125</v>
      </c>
      <c r="Y144" s="117">
        <f>AVERAGE(X144,V144,U144,T144)</f>
        <v>3.431884765625</v>
      </c>
      <c r="Z144" s="117">
        <f>AVERAGE(Y144,X144,V144,U144)</f>
        <v>3.39923095703125</v>
      </c>
      <c r="AA144" s="117">
        <f>AVERAGE(Z144,Y144,X144,V144)</f>
        <v>3.3857574462890625</v>
      </c>
      <c r="AB144" s="113"/>
      <c r="AC144" s="117">
        <f>AVERAGE(AA144,Z144,Y144,X144)</f>
        <v>3.4030952453613281</v>
      </c>
      <c r="AD144" s="117">
        <f>AVERAGE(AC144,AA144,Z144,Y144)</f>
        <v>3.4049921035766602</v>
      </c>
      <c r="AE144" s="117">
        <f>AVERAGE(AD144,AC144,AA144,Z144)</f>
        <v>3.3982689380645752</v>
      </c>
      <c r="AF144" s="117">
        <f>AVERAGE(AE144,AD144,AC144,AA144)</f>
        <v>3.3980284333229065</v>
      </c>
      <c r="AG144" s="113"/>
      <c r="AH144" s="117">
        <f>AVERAGE(AF144,AE144,AD144,AC144)</f>
        <v>3.4010961800813675</v>
      </c>
      <c r="AI144" s="117">
        <f>AVERAGE(AH144,AF144,AE144,AD144)</f>
        <v>3.4005964137613773</v>
      </c>
      <c r="AJ144" s="117">
        <f>AVERAGE(AI144,AH144,AF144,AE144)</f>
        <v>3.3994974913075566</v>
      </c>
      <c r="AK144" s="117">
        <f>AVERAGE(AJ144,AI144,AH144,AF144)</f>
        <v>3.399804629618302</v>
      </c>
      <c r="AL144" s="113"/>
      <c r="AM144" s="117">
        <f>AVERAGE(AK144,AJ144,AI144,AH144)</f>
        <v>3.4002486786921509</v>
      </c>
      <c r="AN144" s="117">
        <f>AVERAGE(AM144,AK144,AJ144,AI144)</f>
        <v>3.4000368033448467</v>
      </c>
      <c r="AO144" s="117">
        <f>AVERAGE(AN144,AM144,AK144,AJ144)</f>
        <v>3.399896900740714</v>
      </c>
      <c r="AP144" s="117">
        <f>AVERAGE(AO144,AN144,AM144,AK144)</f>
        <v>3.3999967530990034</v>
      </c>
      <c r="AQ144" s="113"/>
    </row>
    <row r="145" spans="2:43" outlineLevel="1" x14ac:dyDescent="0.25">
      <c r="B145" s="104" t="s">
        <v>125</v>
      </c>
      <c r="C145" s="111"/>
      <c r="D145" s="145">
        <v>132</v>
      </c>
      <c r="E145" s="145">
        <v>136</v>
      </c>
      <c r="F145" s="145">
        <v>145</v>
      </c>
      <c r="G145" s="145">
        <v>143</v>
      </c>
      <c r="H145" s="113"/>
      <c r="I145" s="145">
        <v>145</v>
      </c>
      <c r="J145" s="145">
        <v>155</v>
      </c>
      <c r="K145" s="145">
        <v>165</v>
      </c>
      <c r="L145" s="145">
        <v>162</v>
      </c>
      <c r="M145" s="113"/>
      <c r="N145" s="145">
        <v>161</v>
      </c>
      <c r="O145" s="145">
        <v>166</v>
      </c>
      <c r="P145" s="145">
        <v>177</v>
      </c>
      <c r="Q145" s="145">
        <v>177</v>
      </c>
      <c r="R145" s="113"/>
      <c r="S145" s="145">
        <f>Q145/(Q66+Q145+Q162+Q176)*S18</f>
        <v>0</v>
      </c>
      <c r="T145" s="145" t="e">
        <f>S145/(S66+S145+S162+S176)*T18</f>
        <v>#DIV/0!</v>
      </c>
      <c r="U145" s="145" t="e">
        <f>T145/(T66+T145+T162+T176)*U18</f>
        <v>#DIV/0!</v>
      </c>
      <c r="V145" s="145" t="e">
        <f>U145/(U66+U145+U162+U176)*V18</f>
        <v>#DIV/0!</v>
      </c>
      <c r="W145" s="113"/>
      <c r="X145" s="145" t="e">
        <f>V145/(V66+V145+V162+V176)*X18</f>
        <v>#DIV/0!</v>
      </c>
      <c r="Y145" s="145" t="e">
        <f>X145/(X66+X145+X162+X176)*Y18</f>
        <v>#DIV/0!</v>
      </c>
      <c r="Z145" s="145" t="e">
        <f>Y145/(Y66+Y145+Y162+Y176)*Z18</f>
        <v>#DIV/0!</v>
      </c>
      <c r="AA145" s="145" t="e">
        <f>Z145/(Z66+Z145+Z162+Z176)*AA18</f>
        <v>#DIV/0!</v>
      </c>
      <c r="AB145" s="113"/>
      <c r="AC145" s="145" t="e">
        <f>AA145/(AA66+AA145+AA162+AA176)*AC18</f>
        <v>#DIV/0!</v>
      </c>
      <c r="AD145" s="145" t="e">
        <f>AC145/(AC66+AC145+AC162+AC176)*AD18</f>
        <v>#DIV/0!</v>
      </c>
      <c r="AE145" s="145" t="e">
        <f>AD145/(AD66+AD145+AD162+AD176)*AE18</f>
        <v>#DIV/0!</v>
      </c>
      <c r="AF145" s="145" t="e">
        <f>AE145/(AE66+AE145+AE162+AE176)*AF18</f>
        <v>#DIV/0!</v>
      </c>
      <c r="AG145" s="113"/>
      <c r="AH145" s="145" t="e">
        <f>AF145/(AF66+AF145+AF162+AF176)*AH18</f>
        <v>#DIV/0!</v>
      </c>
      <c r="AI145" s="145" t="e">
        <f>AH145/(AH66+AH145+AH162+AH176)*AI18</f>
        <v>#DIV/0!</v>
      </c>
      <c r="AJ145" s="145" t="e">
        <f>AI145/(AI66+AI145+AI162+AI176)*AJ18</f>
        <v>#DIV/0!</v>
      </c>
      <c r="AK145" s="145" t="e">
        <f>AJ145/(AJ66+AJ145+AJ162+AJ176)*AK18</f>
        <v>#DIV/0!</v>
      </c>
      <c r="AL145" s="113"/>
      <c r="AM145" s="145" t="e">
        <f>AK145/(AK66+AK145+AK162+AK176)*AM18</f>
        <v>#DIV/0!</v>
      </c>
      <c r="AN145" s="145" t="e">
        <f>AM145/(AM66+AM145+AM162+AM176)*AN18</f>
        <v>#DIV/0!</v>
      </c>
      <c r="AO145" s="145" t="e">
        <f>AN145/(AN66+AN145+AN162+AN176)*AO18</f>
        <v>#DIV/0!</v>
      </c>
      <c r="AP145" s="145" t="e">
        <f>AO145/(AO66+AO145+AO162+AO176)*AP18</f>
        <v>#DIV/0!</v>
      </c>
      <c r="AQ145" s="113"/>
    </row>
    <row r="146" spans="2:43" outlineLevel="1" x14ac:dyDescent="0.25">
      <c r="B146" s="104" t="s">
        <v>221</v>
      </c>
      <c r="C146" s="111"/>
      <c r="D146" s="145">
        <v>2801</v>
      </c>
      <c r="E146" s="145">
        <v>3028</v>
      </c>
      <c r="F146" s="145">
        <v>3328</v>
      </c>
      <c r="G146" s="145">
        <v>3088</v>
      </c>
      <c r="H146" s="113"/>
      <c r="I146" s="145">
        <v>3141</v>
      </c>
      <c r="J146" s="145">
        <v>3400</v>
      </c>
      <c r="K146" s="145">
        <v>3618</v>
      </c>
      <c r="L146" s="145">
        <v>3428</v>
      </c>
      <c r="M146" s="113"/>
      <c r="N146" s="145">
        <v>3457</v>
      </c>
      <c r="O146" s="145">
        <v>3840</v>
      </c>
      <c r="P146" s="145">
        <v>4014</v>
      </c>
      <c r="Q146" s="145">
        <v>3786</v>
      </c>
      <c r="R146" s="113"/>
      <c r="S146" s="145">
        <f>+S147*S142</f>
        <v>3877.2618002472905</v>
      </c>
      <c r="T146" s="145">
        <f>+T147*T142</f>
        <v>4163.0592679298161</v>
      </c>
      <c r="U146" s="145">
        <f>+U147*U142</f>
        <v>4400.4900698697047</v>
      </c>
      <c r="V146" s="145">
        <f>+V147*V142</f>
        <v>4344.5898948887707</v>
      </c>
      <c r="W146" s="113"/>
      <c r="X146" s="145">
        <f>+X147*X142</f>
        <v>4310.650515636873</v>
      </c>
      <c r="Y146" s="145">
        <f>+Y147*Y142</f>
        <v>4618.2375073205949</v>
      </c>
      <c r="Z146" s="145">
        <f>+Z147*Z142</f>
        <v>4910.8017213212906</v>
      </c>
      <c r="AA146" s="145">
        <f>+AA147*AA142</f>
        <v>4869.4183539949026</v>
      </c>
      <c r="AB146" s="113"/>
      <c r="AC146" s="145">
        <f>+AC147*AC142</f>
        <v>4804.1698937515002</v>
      </c>
      <c r="AD146" s="145">
        <f>+AD147*AD142</f>
        <v>5150.0602497347754</v>
      </c>
      <c r="AE146" s="145">
        <f>+AE147*AE142</f>
        <v>5483.8398675622093</v>
      </c>
      <c r="AF146" s="145">
        <f>+AF147*AF142</f>
        <v>5437.6238587647695</v>
      </c>
      <c r="AG146" s="113"/>
      <c r="AH146" s="145">
        <f>+AH147*AH142</f>
        <v>5360.4461214246894</v>
      </c>
      <c r="AI146" s="145">
        <f>+AI147*AI142</f>
        <v>5748.0108068102081</v>
      </c>
      <c r="AJ146" s="145">
        <f>+AJ147*AJ142</f>
        <v>6122.1666847366878</v>
      </c>
      <c r="AK146" s="145">
        <f>+AK147*AK142</f>
        <v>6069.2963776221495</v>
      </c>
      <c r="AL146" s="113"/>
      <c r="AM146" s="145">
        <f>+AM147*AM142</f>
        <v>5983.0504978419985</v>
      </c>
      <c r="AN146" s="145">
        <f>+AN147*AN142</f>
        <v>6416.0882453483873</v>
      </c>
      <c r="AO146" s="145">
        <f>+AO147*AO142</f>
        <v>6834.2389403936486</v>
      </c>
      <c r="AP146" s="145">
        <f>+AP147*AP142</f>
        <v>6774.1976471858843</v>
      </c>
      <c r="AQ146" s="113"/>
    </row>
    <row r="147" spans="2:43" outlineLevel="1" x14ac:dyDescent="0.25">
      <c r="B147" s="104" t="s">
        <v>223</v>
      </c>
      <c r="C147" s="111"/>
      <c r="D147" s="322">
        <f>+D146/D142</f>
        <v>0.80942113398303428</v>
      </c>
      <c r="E147" s="322">
        <f>+E146/E142</f>
        <v>0.82344904746319658</v>
      </c>
      <c r="F147" s="322">
        <f>+F146/F142</f>
        <v>0.82677573665224502</v>
      </c>
      <c r="G147" s="322">
        <f>+G146/G142</f>
        <v>0.79412622398812505</v>
      </c>
      <c r="H147" s="113"/>
      <c r="I147" s="322">
        <f>+I146/I142</f>
        <v>0.80690796783351126</v>
      </c>
      <c r="J147" s="322">
        <f>+J146/J142</f>
        <v>0.84650352759127767</v>
      </c>
      <c r="K147" s="322">
        <f>+K146/K142</f>
        <v>0.84205516540541836</v>
      </c>
      <c r="L147" s="322">
        <f>+L146/L142</f>
        <v>0.79804262140030857</v>
      </c>
      <c r="M147" s="323"/>
      <c r="N147" s="123">
        <f>+N146/N142</f>
        <v>0.8143032159761191</v>
      </c>
      <c r="O147" s="123">
        <f>+O146/O142</f>
        <v>0.84855937863304509</v>
      </c>
      <c r="P147" s="123">
        <f>+P146/P142</f>
        <v>0.83133604017087692</v>
      </c>
      <c r="Q147" s="123">
        <f>+Q146/Q142</f>
        <v>0.78928168809882993</v>
      </c>
      <c r="R147" s="156"/>
      <c r="S147" s="154">
        <f>AVERAGE(Q147,P147,O147,N147)</f>
        <v>0.82087008071971779</v>
      </c>
      <c r="T147" s="154">
        <f>AVERAGE(S147,Q147,P147,O147)</f>
        <v>0.82251179690561738</v>
      </c>
      <c r="U147" s="154">
        <f>AVERAGE(T147,S147,Q147,P147)</f>
        <v>0.81599990147376045</v>
      </c>
      <c r="V147" s="154">
        <f>AVERAGE(U147,T147,S147,Q147)</f>
        <v>0.81216586679948133</v>
      </c>
      <c r="W147" s="113"/>
      <c r="X147" s="154">
        <f>AVERAGE(V147,U147,T147,S147)</f>
        <v>0.81788691147464421</v>
      </c>
      <c r="Y147" s="154">
        <f>AVERAGE(X147,V147,U147,T147)</f>
        <v>0.81714111916337595</v>
      </c>
      <c r="Z147" s="154">
        <f>AVERAGE(Y147,X147,V147,U147)</f>
        <v>0.81579844972781546</v>
      </c>
      <c r="AA147" s="154">
        <f>AVERAGE(Z147,Y147,X147,V147)</f>
        <v>0.81574808679132926</v>
      </c>
      <c r="AB147" s="113"/>
      <c r="AC147" s="154">
        <f>AVERAGE(AA147,Z147,Y147,X147)</f>
        <v>0.81664364178929127</v>
      </c>
      <c r="AD147" s="154">
        <f>AVERAGE(AC147,AA147,Z147,Y147)</f>
        <v>0.81633282436795296</v>
      </c>
      <c r="AE147" s="154">
        <f>AVERAGE(AD147,AC147,AA147,Z147)</f>
        <v>0.81613075066909724</v>
      </c>
      <c r="AF147" s="154">
        <f>AVERAGE(AE147,AD147,AC147,AA147)</f>
        <v>0.81621382590441771</v>
      </c>
      <c r="AG147" s="113"/>
      <c r="AH147" s="154">
        <f>AVERAGE(AF147,AE147,AD147,AC147)</f>
        <v>0.81633026068268988</v>
      </c>
      <c r="AI147" s="154">
        <f>AVERAGE(AH147,AF147,AE147,AD147)</f>
        <v>0.81625191540603947</v>
      </c>
      <c r="AJ147" s="154">
        <f>AVERAGE(AI147,AH147,AF147,AE147)</f>
        <v>0.81623168816556113</v>
      </c>
      <c r="AK147" s="154">
        <f>AVERAGE(AJ147,AI147,AH147,AF147)</f>
        <v>0.81625692253967708</v>
      </c>
      <c r="AL147" s="113"/>
      <c r="AM147" s="154">
        <f>AVERAGE(AK147,AJ147,AI147,AH147)</f>
        <v>0.81626769669849197</v>
      </c>
      <c r="AN147" s="154">
        <f>AVERAGE(AM147,AK147,AJ147,AI147)</f>
        <v>0.81625205570244241</v>
      </c>
      <c r="AO147" s="154">
        <f>AVERAGE(AN147,AM147,AK147,AJ147)</f>
        <v>0.81625209077654315</v>
      </c>
      <c r="AP147" s="154">
        <f>AVERAGE(AO147,AN147,AM147,AK147)</f>
        <v>0.81625719142928865</v>
      </c>
      <c r="AQ147" s="113"/>
    </row>
    <row r="148" spans="2:43" s="32" customFormat="1" outlineLevel="1" x14ac:dyDescent="0.25">
      <c r="B148" s="149" t="s">
        <v>295</v>
      </c>
      <c r="C148" s="111"/>
      <c r="D148" s="146">
        <f>+D142-D145-D146-D144</f>
        <v>524.49773399999958</v>
      </c>
      <c r="E148" s="146">
        <f>+E142-E145-E146-E144</f>
        <v>511.21598479999966</v>
      </c>
      <c r="F148" s="146">
        <f>+F142-F145-F146-F144</f>
        <v>549.27535880000005</v>
      </c>
      <c r="G148" s="146">
        <f>+G142-G145-G146-G144</f>
        <v>655.55059399999936</v>
      </c>
      <c r="H148" s="150"/>
      <c r="I148" s="146">
        <f>+I142-I145-I146-I144</f>
        <v>604.63723399999981</v>
      </c>
      <c r="J148" s="146">
        <f>+J142-J145-J146-J144</f>
        <v>458.52195079999956</v>
      </c>
      <c r="K148" s="146">
        <f>+K142-K145-K146-K144</f>
        <v>510.6306112000002</v>
      </c>
      <c r="L148" s="146">
        <f>+L142-L145-L146-L144</f>
        <v>703.50992399999996</v>
      </c>
      <c r="M148" s="150"/>
      <c r="N148" s="146">
        <f>+N142-N145-N146-N144</f>
        <v>625.34734995002509</v>
      </c>
      <c r="O148" s="146">
        <f>+O142-O145-O146-O144</f>
        <v>515.31678594596906</v>
      </c>
      <c r="P148" s="146">
        <f>+P142-P145-P146-P144</f>
        <v>633.37241024092054</v>
      </c>
      <c r="Q148" s="146">
        <f>+Q142-Q145-Q146-Q144</f>
        <v>830.76654999999937</v>
      </c>
      <c r="R148" s="150"/>
      <c r="S148" s="146">
        <f>+S142-S145-S146-S144</f>
        <v>842.84441812993055</v>
      </c>
      <c r="T148" s="146" t="e">
        <f>+T142-T145-T146-T144</f>
        <v>#DIV/0!</v>
      </c>
      <c r="U148" s="146" t="e">
        <f>+U142-U145-U146-U144</f>
        <v>#DIV/0!</v>
      </c>
      <c r="V148" s="146" t="e">
        <f>+V142-V145-V146-V144</f>
        <v>#DIV/0!</v>
      </c>
      <c r="W148" s="150"/>
      <c r="X148" s="146" t="e">
        <f>+X142-X145-X146-X144</f>
        <v>#DIV/0!</v>
      </c>
      <c r="Y148" s="146" t="e">
        <f>+Y142-Y145-Y146-Y144</f>
        <v>#DIV/0!</v>
      </c>
      <c r="Z148" s="146" t="e">
        <f>+Z142-Z145-Z146-Z144</f>
        <v>#DIV/0!</v>
      </c>
      <c r="AA148" s="146" t="e">
        <f>+AA142-AA145-AA146-AA144</f>
        <v>#DIV/0!</v>
      </c>
      <c r="AB148" s="150"/>
      <c r="AC148" s="146" t="e">
        <f>+AC142-AC145-AC146-AC144</f>
        <v>#DIV/0!</v>
      </c>
      <c r="AD148" s="146" t="e">
        <f>+AD142-AD145-AD146-AD144</f>
        <v>#DIV/0!</v>
      </c>
      <c r="AE148" s="146" t="e">
        <f>+AE142-AE145-AE146-AE144</f>
        <v>#DIV/0!</v>
      </c>
      <c r="AF148" s="146" t="e">
        <f>+AF142-AF145-AF146-AF144</f>
        <v>#DIV/0!</v>
      </c>
      <c r="AG148" s="150"/>
      <c r="AH148" s="146" t="e">
        <f>+AH142-AH145-AH146-AH144</f>
        <v>#DIV/0!</v>
      </c>
      <c r="AI148" s="146" t="e">
        <f>+AI142-AI145-AI146-AI144</f>
        <v>#DIV/0!</v>
      </c>
      <c r="AJ148" s="146" t="e">
        <f>+AJ142-AJ145-AJ146-AJ144</f>
        <v>#DIV/0!</v>
      </c>
      <c r="AK148" s="146" t="e">
        <f>+AK142-AK145-AK146-AK144</f>
        <v>#DIV/0!</v>
      </c>
      <c r="AL148" s="150"/>
      <c r="AM148" s="146" t="e">
        <f>+AM142-AM145-AM146-AM144</f>
        <v>#DIV/0!</v>
      </c>
      <c r="AN148" s="146" t="e">
        <f>+AN142-AN145-AN146-AN144</f>
        <v>#DIV/0!</v>
      </c>
      <c r="AO148" s="146" t="e">
        <f>+AO142-AO145-AO146-AO144</f>
        <v>#DIV/0!</v>
      </c>
      <c r="AP148" s="146" t="e">
        <f>+AP142-AP145-AP146-AP144</f>
        <v>#DIV/0!</v>
      </c>
      <c r="AQ148" s="150"/>
    </row>
    <row r="149" spans="2:43" s="32" customFormat="1" outlineLevel="1" x14ac:dyDescent="0.25">
      <c r="B149" s="149" t="s">
        <v>231</v>
      </c>
      <c r="C149" s="111"/>
      <c r="D149" s="324">
        <f>+D148/D142</f>
        <v>0.15156713696030399</v>
      </c>
      <c r="E149" s="324">
        <f>+E148/E142</f>
        <v>0.13902256133801838</v>
      </c>
      <c r="F149" s="324">
        <f>+F148/F142</f>
        <v>0.13645659236682581</v>
      </c>
      <c r="G149" s="324">
        <f>+G148/G142</f>
        <v>0.16858481795543778</v>
      </c>
      <c r="H149" s="325"/>
      <c r="I149" s="324">
        <f>+I148/I142</f>
        <v>0.15532843099758517</v>
      </c>
      <c r="J149" s="324">
        <f>+J148/J142</f>
        <v>0.11415895553830409</v>
      </c>
      <c r="K149" s="324">
        <f>+K148/K142</f>
        <v>0.11884442890411444</v>
      </c>
      <c r="L149" s="324">
        <f>+L148/L142</f>
        <v>0.16377797664238383</v>
      </c>
      <c r="M149" s="325"/>
      <c r="N149" s="324">
        <f>+N148/N142</f>
        <v>0.14730181028824096</v>
      </c>
      <c r="O149" s="324">
        <f>+O148/O142</f>
        <v>0.11387419054205453</v>
      </c>
      <c r="P149" s="324">
        <f>+P148/P142</f>
        <v>0.13117720764403865</v>
      </c>
      <c r="Q149" s="324">
        <f>+Q148/Q142</f>
        <v>0.17319303354464885</v>
      </c>
      <c r="R149" s="325"/>
      <c r="S149" s="324">
        <f>+S148/S142</f>
        <v>0.17844184921955816</v>
      </c>
      <c r="T149" s="324" t="e">
        <f>+T148/T142</f>
        <v>#DIV/0!</v>
      </c>
      <c r="U149" s="324" t="e">
        <f>+U148/U142</f>
        <v>#DIV/0!</v>
      </c>
      <c r="V149" s="324" t="e">
        <f>+V148/V142</f>
        <v>#DIV/0!</v>
      </c>
      <c r="W149" s="325"/>
      <c r="X149" s="324" t="e">
        <f>+X148/X142</f>
        <v>#DIV/0!</v>
      </c>
      <c r="Y149" s="324" t="e">
        <f>+Y148/Y142</f>
        <v>#DIV/0!</v>
      </c>
      <c r="Z149" s="324" t="e">
        <f>+Z148/Z142</f>
        <v>#DIV/0!</v>
      </c>
      <c r="AA149" s="324" t="e">
        <f>+AA148/AA142</f>
        <v>#DIV/0!</v>
      </c>
      <c r="AB149" s="325"/>
      <c r="AC149" s="324" t="e">
        <f>+AC148/AC142</f>
        <v>#DIV/0!</v>
      </c>
      <c r="AD149" s="324" t="e">
        <f>+AD148/AD142</f>
        <v>#DIV/0!</v>
      </c>
      <c r="AE149" s="324" t="e">
        <f>+AE148/AE142</f>
        <v>#DIV/0!</v>
      </c>
      <c r="AF149" s="324" t="e">
        <f>+AF148/AF142</f>
        <v>#DIV/0!</v>
      </c>
      <c r="AG149" s="325"/>
      <c r="AH149" s="324" t="e">
        <f>+AH148/AH142</f>
        <v>#DIV/0!</v>
      </c>
      <c r="AI149" s="324" t="e">
        <f>+AI148/AI142</f>
        <v>#DIV/0!</v>
      </c>
      <c r="AJ149" s="324" t="e">
        <f>+AJ148/AJ142</f>
        <v>#DIV/0!</v>
      </c>
      <c r="AK149" s="324" t="e">
        <f>+AK148/AK142</f>
        <v>#DIV/0!</v>
      </c>
      <c r="AL149" s="325"/>
      <c r="AM149" s="324" t="e">
        <f>+AM148/AM142</f>
        <v>#DIV/0!</v>
      </c>
      <c r="AN149" s="324" t="e">
        <f>+AN148/AN142</f>
        <v>#DIV/0!</v>
      </c>
      <c r="AO149" s="324" t="e">
        <f>+AO148/AO142</f>
        <v>#DIV/0!</v>
      </c>
      <c r="AP149" s="324" t="e">
        <f>+AP148/AP142</f>
        <v>#DIV/0!</v>
      </c>
      <c r="AQ149" s="325"/>
    </row>
    <row r="150" spans="2:43" ht="15.75" x14ac:dyDescent="0.25">
      <c r="B150" s="532" t="s">
        <v>212</v>
      </c>
      <c r="C150" s="540"/>
      <c r="D150" s="67" t="s">
        <v>52</v>
      </c>
      <c r="E150" s="67" t="s">
        <v>55</v>
      </c>
      <c r="F150" s="67" t="s">
        <v>56</v>
      </c>
      <c r="G150" s="67" t="s">
        <v>60</v>
      </c>
      <c r="H150" s="403"/>
      <c r="I150" s="67" t="s">
        <v>62</v>
      </c>
      <c r="J150" s="67" t="s">
        <v>73</v>
      </c>
      <c r="K150" s="67" t="s">
        <v>77</v>
      </c>
      <c r="L150" s="67" t="s">
        <v>81</v>
      </c>
      <c r="M150" s="403"/>
      <c r="N150" s="67" t="s">
        <v>83</v>
      </c>
      <c r="O150" s="67" t="s">
        <v>84</v>
      </c>
      <c r="P150" s="67" t="s">
        <v>85</v>
      </c>
      <c r="Q150" s="67" t="s">
        <v>86</v>
      </c>
      <c r="R150" s="403"/>
      <c r="S150" s="69" t="s">
        <v>344</v>
      </c>
      <c r="T150" s="69" t="s">
        <v>345</v>
      </c>
      <c r="U150" s="69" t="s">
        <v>346</v>
      </c>
      <c r="V150" s="69" t="s">
        <v>347</v>
      </c>
      <c r="W150" s="407"/>
      <c r="X150" s="69" t="s">
        <v>349</v>
      </c>
      <c r="Y150" s="69" t="s">
        <v>350</v>
      </c>
      <c r="Z150" s="69" t="s">
        <v>351</v>
      </c>
      <c r="AA150" s="69" t="s">
        <v>352</v>
      </c>
      <c r="AB150" s="407"/>
      <c r="AC150" s="69" t="s">
        <v>354</v>
      </c>
      <c r="AD150" s="69" t="s">
        <v>355</v>
      </c>
      <c r="AE150" s="69" t="s">
        <v>356</v>
      </c>
      <c r="AF150" s="69" t="s">
        <v>357</v>
      </c>
      <c r="AG150" s="407"/>
      <c r="AH150" s="69" t="s">
        <v>359</v>
      </c>
      <c r="AI150" s="69" t="s">
        <v>360</v>
      </c>
      <c r="AJ150" s="69" t="s">
        <v>361</v>
      </c>
      <c r="AK150" s="69" t="s">
        <v>362</v>
      </c>
      <c r="AL150" s="407"/>
      <c r="AM150" s="69" t="s">
        <v>364</v>
      </c>
      <c r="AN150" s="69" t="s">
        <v>365</v>
      </c>
      <c r="AO150" s="69" t="s">
        <v>366</v>
      </c>
      <c r="AP150" s="69" t="s">
        <v>367</v>
      </c>
      <c r="AQ150" s="407"/>
    </row>
    <row r="151" spans="2:43" ht="15.75" outlineLevel="1" x14ac:dyDescent="0.25">
      <c r="B151" s="302" t="s">
        <v>213</v>
      </c>
      <c r="C151" s="152"/>
      <c r="D151" s="134">
        <f>ROUND((1502-D159),0)</f>
        <v>0</v>
      </c>
      <c r="E151" s="134">
        <f>ROUND((1447-E159),0)</f>
        <v>0</v>
      </c>
      <c r="F151" s="134">
        <f>ROUND((1361-F159),0)</f>
        <v>0</v>
      </c>
      <c r="G151" s="134">
        <f>ROUND((1516-G159),0)</f>
        <v>0</v>
      </c>
      <c r="H151" s="31"/>
      <c r="I151" s="134">
        <f>ROUND((1562-I159),0)</f>
        <v>0</v>
      </c>
      <c r="J151" s="134">
        <f>ROUND((1502-J159),0)</f>
        <v>0</v>
      </c>
      <c r="K151" s="134">
        <f>ROUND((1406-K159),0)</f>
        <v>0</v>
      </c>
      <c r="L151" s="134">
        <f>ROUND((1600-L159),0)</f>
        <v>0</v>
      </c>
      <c r="M151" s="31"/>
      <c r="N151" s="134">
        <f>ROUND((1664-N159),0)</f>
        <v>0</v>
      </c>
      <c r="O151" s="134">
        <f>ROUND((1673-O159),0)</f>
        <v>0</v>
      </c>
      <c r="P151" s="134">
        <f>ROUND((1613-P159),0)</f>
        <v>0</v>
      </c>
      <c r="Q151" s="134">
        <f>ROUND((1862-Q159),0)</f>
        <v>0</v>
      </c>
      <c r="R151" s="31"/>
      <c r="S151" s="26"/>
      <c r="T151" s="26"/>
      <c r="U151" s="26"/>
      <c r="V151" s="26"/>
      <c r="W151" s="31"/>
      <c r="X151" s="26"/>
      <c r="Y151" s="26"/>
      <c r="Z151" s="26"/>
      <c r="AA151" s="26"/>
      <c r="AB151" s="31"/>
      <c r="AC151" s="26"/>
      <c r="AD151" s="26"/>
      <c r="AE151" s="26"/>
      <c r="AF151" s="26"/>
      <c r="AG151" s="31"/>
      <c r="AH151" s="26"/>
      <c r="AI151" s="26"/>
      <c r="AJ151" s="26"/>
      <c r="AK151" s="26"/>
      <c r="AL151" s="31"/>
      <c r="AM151" s="26"/>
      <c r="AN151" s="26"/>
      <c r="AO151" s="26"/>
      <c r="AP151" s="26"/>
      <c r="AQ151" s="31"/>
    </row>
    <row r="152" spans="2:43" outlineLevel="1" x14ac:dyDescent="0.25">
      <c r="B152" s="298" t="s">
        <v>343</v>
      </c>
      <c r="C152" s="293"/>
      <c r="D152" s="116">
        <v>97.153000000000006</v>
      </c>
      <c r="E152" s="116">
        <v>100.32899999999999</v>
      </c>
      <c r="F152" s="116">
        <v>94.744</v>
      </c>
      <c r="G152" s="116">
        <v>102.845</v>
      </c>
      <c r="H152" s="31"/>
      <c r="I152" s="116">
        <f>104811.4/1000</f>
        <v>104.81139999999999</v>
      </c>
      <c r="J152" s="116">
        <f>104125/1000</f>
        <v>104.125</v>
      </c>
      <c r="K152" s="116">
        <f>94583/1000</f>
        <v>94.582999999999998</v>
      </c>
      <c r="L152" s="116">
        <f>102709/1000</f>
        <v>102.709</v>
      </c>
      <c r="M152" s="31"/>
      <c r="N152" s="116">
        <f>106080/1000</f>
        <v>106.08</v>
      </c>
      <c r="O152" s="116">
        <f>108638/1000</f>
        <v>108.63800000000001</v>
      </c>
      <c r="P152" s="116">
        <f>100340/1000</f>
        <v>100.34</v>
      </c>
      <c r="Q152" s="241">
        <f>110560/1000</f>
        <v>110.56</v>
      </c>
      <c r="R152" s="31"/>
      <c r="S152" s="241">
        <f>+N152*(1+S153)</f>
        <v>111.19178880454682</v>
      </c>
      <c r="T152" s="241">
        <f>+O152*(1+T153)</f>
        <v>114.85308835724636</v>
      </c>
      <c r="U152" s="241">
        <f>+P152*(1+U153)</f>
        <v>106.42822096648113</v>
      </c>
      <c r="V152" s="241">
        <f>+Q152*(1+V153)</f>
        <v>117.26304226515684</v>
      </c>
      <c r="W152" s="31"/>
      <c r="X152" s="241">
        <f>+S152*(1+X153)</f>
        <v>117.49361730049472</v>
      </c>
      <c r="Y152" s="241">
        <f>+T152*(1+Y153)</f>
        <v>121.60611884549854</v>
      </c>
      <c r="Z152" s="241">
        <f>+U152*(1+Z153)</f>
        <v>112.72814449277611</v>
      </c>
      <c r="AA152" s="241">
        <f>+V152*(1+AA153)</f>
        <v>124.16088314491309</v>
      </c>
      <c r="AB152" s="31"/>
      <c r="AC152" s="241">
        <f>+X152*(1+AC153)</f>
        <v>124.35201891376924</v>
      </c>
      <c r="AD152" s="241">
        <f>+Y152*(1+AD153)</f>
        <v>128.75617638981331</v>
      </c>
      <c r="AE152" s="241">
        <f>+Z152*(1+AE153)</f>
        <v>119.35619771210793</v>
      </c>
      <c r="AF152" s="241">
        <f>+AA152*(1+AF153)</f>
        <v>131.44881195075135</v>
      </c>
      <c r="AG152" s="31"/>
      <c r="AH152" s="241">
        <f>+AC152*(1+AH153)</f>
        <v>131.64724380070888</v>
      </c>
      <c r="AI152" s="241">
        <f>+AD152*(1+AI153)</f>
        <v>136.31921843867497</v>
      </c>
      <c r="AJ152" s="241">
        <f>+AE152*(1+AJ153)</f>
        <v>126.3653732634339</v>
      </c>
      <c r="AK152" s="241">
        <f>+AF152*(1+AK153)</f>
        <v>139.16576058011307</v>
      </c>
      <c r="AL152" s="31"/>
      <c r="AM152" s="241">
        <f>+AH152*(1+AM153)</f>
        <v>139.37615143375149</v>
      </c>
      <c r="AN152" s="241">
        <f>+AI152*(1+AN153)</f>
        <v>144.32389009446177</v>
      </c>
      <c r="AO152" s="241">
        <f>+AJ152*(1+AO153)</f>
        <v>133.78494793198814</v>
      </c>
      <c r="AP152" s="241">
        <f>+AK152*(1+AP153)</f>
        <v>147.33657904540416</v>
      </c>
      <c r="AQ152" s="31"/>
    </row>
    <row r="153" spans="2:43" outlineLevel="1" x14ac:dyDescent="0.25">
      <c r="B153" s="231" t="s">
        <v>215</v>
      </c>
      <c r="C153" s="293"/>
      <c r="D153" s="143">
        <f>+D152/88.69-1</f>
        <v>9.5422257300710411E-2</v>
      </c>
      <c r="E153" s="143">
        <f>+E152/91.92-1</f>
        <v>9.1481723237597734E-2</v>
      </c>
      <c r="F153" s="143">
        <f>+F152/85.77-1</f>
        <v>0.1046286580389415</v>
      </c>
      <c r="G153" s="143">
        <f>+G152/95.74-1</f>
        <v>7.4211405890954651E-2</v>
      </c>
      <c r="H153" s="31"/>
      <c r="I153" s="143">
        <f>+I152/D152-1</f>
        <v>7.8828239992588811E-2</v>
      </c>
      <c r="J153" s="143">
        <f>+J152/E152-1</f>
        <v>3.7835521135464401E-2</v>
      </c>
      <c r="K153" s="143">
        <f>+K152/F152-1</f>
        <v>-1.6993160516760586E-3</v>
      </c>
      <c r="L153" s="143">
        <f>+L152/G152-1</f>
        <v>-1.3223783363313091E-3</v>
      </c>
      <c r="M153" s="31"/>
      <c r="N153" s="143">
        <f>+N152/I152-1</f>
        <v>1.2103645214165626E-2</v>
      </c>
      <c r="O153" s="143">
        <f>+O152/J152-1</f>
        <v>4.3342136854741975E-2</v>
      </c>
      <c r="P153" s="143">
        <f>+P152/K152-1</f>
        <v>6.0867174862290208E-2</v>
      </c>
      <c r="Q153" s="143">
        <f>+Q152/L152-1</f>
        <v>7.6439260434820744E-2</v>
      </c>
      <c r="R153" s="31"/>
      <c r="S153" s="119">
        <f>AVERAGE(Q153,P153,O153,N153)</f>
        <v>4.8188054341504638E-2</v>
      </c>
      <c r="T153" s="119">
        <f>AVERAGE(S153,Q153,P153,O153)</f>
        <v>5.7209156623339391E-2</v>
      </c>
      <c r="U153" s="119">
        <f>AVERAGE(T153,S153,Q153,P153)</f>
        <v>6.0675911565488745E-2</v>
      </c>
      <c r="V153" s="119">
        <f>AVERAGE(U153,T153,S153,Q153)</f>
        <v>6.0628095741288378E-2</v>
      </c>
      <c r="W153" s="31"/>
      <c r="X153" s="119">
        <f>AVERAGE(V153,U153,T153,S153)</f>
        <v>5.6675304567905288E-2</v>
      </c>
      <c r="Y153" s="119">
        <f>AVERAGE(X153,V153,U153,T153)</f>
        <v>5.8797117124505451E-2</v>
      </c>
      <c r="Z153" s="119">
        <f>AVERAGE(Y153,X153,V153,U153)</f>
        <v>5.9194107249796964E-2</v>
      </c>
      <c r="AA153" s="119">
        <f>AVERAGE(Z153,Y153,X153,V153)</f>
        <v>5.8823656170874018E-2</v>
      </c>
      <c r="AB153" s="31"/>
      <c r="AC153" s="119">
        <f>AVERAGE(AA153,Z153,Y153,X153)</f>
        <v>5.8372546278270432E-2</v>
      </c>
      <c r="AD153" s="119">
        <f>AVERAGE(AC153,AA153,Z153,Y153)</f>
        <v>5.8796856705861711E-2</v>
      </c>
      <c r="AE153" s="119">
        <f>AVERAGE(AD153,AC153,AA153,Z153)</f>
        <v>5.8796791601200778E-2</v>
      </c>
      <c r="AF153" s="119">
        <f>AVERAGE(AE153,AD153,AC153,AA153)</f>
        <v>5.8697462689051731E-2</v>
      </c>
      <c r="AG153" s="31"/>
      <c r="AH153" s="119">
        <f>AVERAGE(AF153,AE153,AD153,AC153)</f>
        <v>5.8665914318596163E-2</v>
      </c>
      <c r="AI153" s="119">
        <f>AVERAGE(AH153,AF153,AE153,AD153)</f>
        <v>5.8739256328677596E-2</v>
      </c>
      <c r="AJ153" s="119">
        <f>AVERAGE(AI153,AH153,AF153,AE153)</f>
        <v>5.8724856234381569E-2</v>
      </c>
      <c r="AK153" s="119">
        <f>AVERAGE(AJ153,AI153,AH153,AF153)</f>
        <v>5.8706872392676766E-2</v>
      </c>
      <c r="AL153" s="31"/>
      <c r="AM153" s="119">
        <f>AVERAGE(AK153,AJ153,AI153,AH153)</f>
        <v>5.8709224818583025E-2</v>
      </c>
      <c r="AN153" s="119">
        <f>AVERAGE(AM153,AK153,AJ153,AI153)</f>
        <v>5.8720052443579737E-2</v>
      </c>
      <c r="AO153" s="119">
        <f>AVERAGE(AN153,AM153,AK153,AJ153)</f>
        <v>5.8715251472305274E-2</v>
      </c>
      <c r="AP153" s="119">
        <f>AVERAGE(AO153,AN153,AM153,AK153)</f>
        <v>5.8712850281786202E-2</v>
      </c>
      <c r="AQ153" s="31"/>
    </row>
    <row r="154" spans="2:43" outlineLevel="1" x14ac:dyDescent="0.25">
      <c r="B154" s="298" t="s">
        <v>216</v>
      </c>
      <c r="C154" s="293"/>
      <c r="D154" s="116">
        <v>1189</v>
      </c>
      <c r="E154" s="116">
        <v>1167</v>
      </c>
      <c r="F154" s="116">
        <v>1177</v>
      </c>
      <c r="G154" s="116">
        <v>1173</v>
      </c>
      <c r="H154" s="31"/>
      <c r="I154" s="116">
        <v>1152</v>
      </c>
      <c r="J154" s="116">
        <v>1149.0166428171599</v>
      </c>
      <c r="K154" s="116">
        <v>1172</v>
      </c>
      <c r="L154" s="116">
        <v>1174</v>
      </c>
      <c r="M154" s="31"/>
      <c r="N154" s="116">
        <v>1173</v>
      </c>
      <c r="O154" s="116">
        <v>1187</v>
      </c>
      <c r="P154" s="116">
        <v>1202</v>
      </c>
      <c r="Q154" s="241">
        <v>1198</v>
      </c>
      <c r="R154" s="31"/>
      <c r="S154" s="241">
        <f>+N154*(1+S155)</f>
        <v>1201.5410371038129</v>
      </c>
      <c r="T154" s="241">
        <f>+O154*(1+T155)</f>
        <v>1217.692595220296</v>
      </c>
      <c r="U154" s="241">
        <f>+P154*(1+U155)</f>
        <v>1230.9168574610094</v>
      </c>
      <c r="V154" s="241">
        <f>+Q154*(1+V155)</f>
        <v>1226.3594031449957</v>
      </c>
      <c r="W154" s="31"/>
      <c r="X154" s="241">
        <f>+S154*(1+X155)</f>
        <v>1230.9543167311035</v>
      </c>
      <c r="Y154" s="241">
        <f>+T154*(1+Y155)</f>
        <v>1247.5463044230289</v>
      </c>
      <c r="Z154" s="241">
        <f>+U154*(1+Z155)</f>
        <v>1260.6822203036663</v>
      </c>
      <c r="AA154" s="241">
        <f>+V154*(1+AA155)</f>
        <v>1256.052629696615</v>
      </c>
      <c r="AB154" s="31"/>
      <c r="AC154" s="241">
        <f>+X154*(1+AC155)</f>
        <v>1260.9250410298441</v>
      </c>
      <c r="AD154" s="241">
        <f>+Y154*(1+AD155)</f>
        <v>1277.8798097678107</v>
      </c>
      <c r="AE154" s="241">
        <f>+Z154*(1+AE155)</f>
        <v>1291.2714266551329</v>
      </c>
      <c r="AF154" s="241">
        <f>+AA154*(1+AF155)</f>
        <v>1286.5554264849266</v>
      </c>
      <c r="AG154" s="31"/>
      <c r="AH154" s="241">
        <f>+AC154*(1+AH155)</f>
        <v>1291.568906250594</v>
      </c>
      <c r="AI154" s="241">
        <f>+AD154*(1+AI155)</f>
        <v>1308.921388022027</v>
      </c>
      <c r="AJ154" s="241">
        <f>+AE154*(1+AJ155)</f>
        <v>1322.6308617229788</v>
      </c>
      <c r="AK154" s="241">
        <f>+AF154*(1+AK155)</f>
        <v>1317.8073075691038</v>
      </c>
      <c r="AL154" s="31"/>
      <c r="AM154" s="241">
        <f>+AH154*(1+AM155)</f>
        <v>1322.9446621757211</v>
      </c>
      <c r="AN154" s="241">
        <f>+AI154*(1+AN155)</f>
        <v>1340.7154308861907</v>
      </c>
      <c r="AO154" s="241">
        <f>+AJ154*(1+AO155)</f>
        <v>1354.7575119150929</v>
      </c>
      <c r="AP154" s="241">
        <f>+AK154*(1+AP155)</f>
        <v>1349.8181959885835</v>
      </c>
      <c r="AQ154" s="31"/>
    </row>
    <row r="155" spans="2:43" outlineLevel="1" x14ac:dyDescent="0.25">
      <c r="B155" s="231" t="s">
        <v>214</v>
      </c>
      <c r="C155" s="293"/>
      <c r="D155" s="143">
        <f>+D154/1166-1</f>
        <v>1.9725557461406584E-2</v>
      </c>
      <c r="E155" s="143">
        <f>+E154/1165-1</f>
        <v>1.7167381974247942E-3</v>
      </c>
      <c r="F155" s="143">
        <f>+F154/1195.2-1</f>
        <v>-1.5227576974565005E-2</v>
      </c>
      <c r="G155" s="143">
        <f>+G154/1200-1</f>
        <v>-2.2499999999999964E-2</v>
      </c>
      <c r="H155" s="31"/>
      <c r="I155" s="143">
        <f>+I154/D154-1</f>
        <v>-3.1118587047939461E-2</v>
      </c>
      <c r="J155" s="143">
        <f>+J154/E154-1</f>
        <v>-1.5409903327198049E-2</v>
      </c>
      <c r="K155" s="143">
        <f>+K154/F154-1</f>
        <v>-4.2480883602379338E-3</v>
      </c>
      <c r="L155" s="143">
        <f>+L154/G154-1</f>
        <v>8.5251491901106036E-4</v>
      </c>
      <c r="M155" s="31"/>
      <c r="N155" s="143">
        <f>+N154/I154-1</f>
        <v>1.8229166666666741E-2</v>
      </c>
      <c r="O155" s="143">
        <f>+O154/J154-1</f>
        <v>3.3057273295635126E-2</v>
      </c>
      <c r="P155" s="143">
        <f>+P154/K154-1</f>
        <v>2.5597269624573427E-2</v>
      </c>
      <c r="Q155" s="143">
        <f>+Q154/L154-1</f>
        <v>2.0442930153321992E-2</v>
      </c>
      <c r="R155" s="31"/>
      <c r="S155" s="119">
        <f>AVERAGE(Q155,P155,O155,N155)</f>
        <v>2.4331659935049321E-2</v>
      </c>
      <c r="T155" s="119">
        <f>AVERAGE(S155,Q155,P155,O155)</f>
        <v>2.5857283252144966E-2</v>
      </c>
      <c r="U155" s="119">
        <f>AVERAGE(T155,S155,Q155,P155)</f>
        <v>2.4057285741272427E-2</v>
      </c>
      <c r="V155" s="119">
        <f>AVERAGE(U155,T155,S155,Q155)</f>
        <v>2.3672289770447177E-2</v>
      </c>
      <c r="W155" s="31"/>
      <c r="X155" s="119">
        <f>AVERAGE(V155,U155,T155,S155)</f>
        <v>2.4479629674728474E-2</v>
      </c>
      <c r="Y155" s="119">
        <f>AVERAGE(X155,V155,U155,T155)</f>
        <v>2.4516622109648261E-2</v>
      </c>
      <c r="Z155" s="119">
        <f>AVERAGE(Y155,X155,V155,U155)</f>
        <v>2.4181456824024086E-2</v>
      </c>
      <c r="AA155" s="119">
        <f>AVERAGE(Z155,Y155,X155,V155)</f>
        <v>2.4212499594712E-2</v>
      </c>
      <c r="AB155" s="31"/>
      <c r="AC155" s="119">
        <f>AVERAGE(AA155,Z155,Y155,X155)</f>
        <v>2.4347552050778206E-2</v>
      </c>
      <c r="AD155" s="119">
        <f>AVERAGE(AC155,AA155,Z155,Y155)</f>
        <v>2.4314532644790641E-2</v>
      </c>
      <c r="AE155" s="119">
        <f>AVERAGE(AD155,AC155,AA155,Z155)</f>
        <v>2.4264010278576234E-2</v>
      </c>
      <c r="AF155" s="119">
        <f>AVERAGE(AE155,AD155,AC155,AA155)</f>
        <v>2.428464864221427E-2</v>
      </c>
      <c r="AG155" s="31"/>
      <c r="AH155" s="119">
        <f>AVERAGE(AF155,AE155,AD155,AC155)</f>
        <v>2.4302685904089839E-2</v>
      </c>
      <c r="AI155" s="119">
        <f>AVERAGE(AH155,AF155,AE155,AD155)</f>
        <v>2.4291469367417745E-2</v>
      </c>
      <c r="AJ155" s="119">
        <f>AVERAGE(AI155,AH155,AF155,AE155)</f>
        <v>2.4285703548074522E-2</v>
      </c>
      <c r="AK155" s="119">
        <f>AVERAGE(AJ155,AI155,AH155,AF155)</f>
        <v>2.4291126865449094E-2</v>
      </c>
      <c r="AL155" s="31"/>
      <c r="AM155" s="119">
        <f>AVERAGE(AK155,AJ155,AI155,AH155)</f>
        <v>2.42927464212578E-2</v>
      </c>
      <c r="AN155" s="119">
        <f>AVERAGE(AM155,AK155,AJ155,AI155)</f>
        <v>2.429026155054979E-2</v>
      </c>
      <c r="AO155" s="119">
        <f>AVERAGE(AN155,AM155,AK155,AJ155)</f>
        <v>2.4289959596332802E-2</v>
      </c>
      <c r="AP155" s="119">
        <f>AVERAGE(AO155,AN155,AM155,AK155)</f>
        <v>2.4291023608397373E-2</v>
      </c>
      <c r="AQ155" s="31"/>
    </row>
    <row r="156" spans="2:43" outlineLevel="1" x14ac:dyDescent="0.25">
      <c r="B156" s="298" t="s">
        <v>297</v>
      </c>
      <c r="C156" s="293"/>
      <c r="D156" s="120">
        <v>237.81</v>
      </c>
      <c r="E156" s="120">
        <v>232.6</v>
      </c>
      <c r="F156" s="120">
        <v>231.61</v>
      </c>
      <c r="G156" s="120">
        <v>226.71</v>
      </c>
      <c r="H156" s="31"/>
      <c r="I156" s="120">
        <v>229.20400000000001</v>
      </c>
      <c r="J156" s="120">
        <v>232.7</v>
      </c>
      <c r="K156" s="120">
        <v>239.82</v>
      </c>
      <c r="L156" s="120">
        <v>239.68</v>
      </c>
      <c r="M156" s="31"/>
      <c r="N156" s="120">
        <v>241.34</v>
      </c>
      <c r="O156" s="120">
        <v>248.36</v>
      </c>
      <c r="P156" s="120">
        <v>259.2</v>
      </c>
      <c r="Q156" s="120">
        <v>259.15499999999997</v>
      </c>
      <c r="R156" s="31"/>
      <c r="S156" s="120">
        <f>+N156*(1+S157)</f>
        <v>258.37318556522121</v>
      </c>
      <c r="T156" s="120">
        <f>+O156*(1+T157)</f>
        <v>266.98322974551309</v>
      </c>
      <c r="U156" s="120">
        <f>+P156*(1+U157)</f>
        <v>279.13423919851937</v>
      </c>
      <c r="V156" s="120">
        <f>+Q156*(1+V157)</f>
        <v>278.83285471517144</v>
      </c>
      <c r="W156" s="31"/>
      <c r="X156" s="120">
        <f>+S156*(1+X157)</f>
        <v>277.64782435389367</v>
      </c>
      <c r="Y156" s="120">
        <f>+T156*(1+Y157)</f>
        <v>287.16865935122968</v>
      </c>
      <c r="Z156" s="120">
        <f>+U156*(1+Z157)</f>
        <v>300.28167416016845</v>
      </c>
      <c r="AA156" s="120">
        <f>+V156*(1+AA157)</f>
        <v>299.87757225926185</v>
      </c>
      <c r="AB156" s="31"/>
      <c r="AC156" s="120">
        <f>+X156*(1+AC157)</f>
        <v>298.57141453405711</v>
      </c>
      <c r="AD156" s="120">
        <f>+Y156*(1+AD157)</f>
        <v>308.86431662277056</v>
      </c>
      <c r="AE156" s="120">
        <f>+Z156*(1+AE157)</f>
        <v>322.96386510766138</v>
      </c>
      <c r="AF156" s="120">
        <f>+AA156*(1+AF157)</f>
        <v>322.51241380099492</v>
      </c>
      <c r="AG156" s="31"/>
      <c r="AH156" s="120">
        <f>+AC156*(1+AH157)</f>
        <v>321.10811209552867</v>
      </c>
      <c r="AI156" s="120">
        <f>+AD156*(1+AI157)</f>
        <v>332.18732893597968</v>
      </c>
      <c r="AJ156" s="120">
        <f>+AE156*(1+AJ157)</f>
        <v>347.34849144189627</v>
      </c>
      <c r="AK156" s="120">
        <f>+AF156*(1+AK157)</f>
        <v>346.86023436687969</v>
      </c>
      <c r="AL156" s="31"/>
      <c r="AM156" s="120">
        <f>+AH156*(1+AM157)</f>
        <v>345.35103485906404</v>
      </c>
      <c r="AN156" s="120">
        <f>+AI156*(1+AN157)</f>
        <v>357.26803004315099</v>
      </c>
      <c r="AO156" s="120">
        <f>+AJ156*(1+AO157)</f>
        <v>373.5729754693981</v>
      </c>
      <c r="AP156" s="120">
        <f>+AK156*(1+AP157)</f>
        <v>373.04754435453884</v>
      </c>
      <c r="AQ156" s="31"/>
    </row>
    <row r="157" spans="2:43" outlineLevel="1" x14ac:dyDescent="0.25">
      <c r="B157" s="231" t="s">
        <v>298</v>
      </c>
      <c r="C157" s="293"/>
      <c r="D157" s="143"/>
      <c r="E157" s="143"/>
      <c r="F157" s="143"/>
      <c r="G157" s="143"/>
      <c r="H157" s="31"/>
      <c r="I157" s="143">
        <f>+I156/D156-1</f>
        <v>-3.6188553887557262E-2</v>
      </c>
      <c r="J157" s="143">
        <f>+J156/E156-1</f>
        <v>4.2992261392948983E-4</v>
      </c>
      <c r="K157" s="143">
        <f>+K156/F156-1</f>
        <v>3.5447519537152861E-2</v>
      </c>
      <c r="L157" s="143">
        <f>+L156/G156-1</f>
        <v>5.7209651096113978E-2</v>
      </c>
      <c r="M157" s="31"/>
      <c r="N157" s="143">
        <f>+N156/I156-1</f>
        <v>5.2948465122772737E-2</v>
      </c>
      <c r="O157" s="143">
        <f>+O156/J156-1</f>
        <v>6.729694886119475E-2</v>
      </c>
      <c r="P157" s="143">
        <f>+P156/K156-1</f>
        <v>8.0810607955966951E-2</v>
      </c>
      <c r="Q157" s="143">
        <f>+Q156/L156-1</f>
        <v>8.1254172229639376E-2</v>
      </c>
      <c r="R157" s="31"/>
      <c r="S157" s="119">
        <f>AVERAGE(Q157,P157,O157,N157)</f>
        <v>7.0577548542393453E-2</v>
      </c>
      <c r="T157" s="119">
        <f>AVERAGE(S157,Q157,P157,O157)</f>
        <v>7.4984819397298633E-2</v>
      </c>
      <c r="U157" s="119">
        <f>AVERAGE(T157,S157,Q157,P157)</f>
        <v>7.69067870313246E-2</v>
      </c>
      <c r="V157" s="119">
        <f>AVERAGE(U157,T157,S157,Q157)</f>
        <v>7.5930831800164023E-2</v>
      </c>
      <c r="W157" s="31"/>
      <c r="X157" s="119">
        <f>AVERAGE(V157,U157,T157,S157)</f>
        <v>7.459999669279517E-2</v>
      </c>
      <c r="Y157" s="119">
        <f>AVERAGE(X157,V157,U157,T157)</f>
        <v>7.5605608730395596E-2</v>
      </c>
      <c r="Z157" s="119">
        <f>AVERAGE(Y157,X157,V157,U157)</f>
        <v>7.5760806063669847E-2</v>
      </c>
      <c r="AA157" s="119">
        <f>AVERAGE(Z157,Y157,X157,V157)</f>
        <v>7.5474310821756152E-2</v>
      </c>
      <c r="AB157" s="31"/>
      <c r="AC157" s="119">
        <f>AVERAGE(AA157,Z157,Y157,X157)</f>
        <v>7.5360180577154198E-2</v>
      </c>
      <c r="AD157" s="119">
        <f>AVERAGE(AC157,AA157,Z157,Y157)</f>
        <v>7.5550226548243948E-2</v>
      </c>
      <c r="AE157" s="119">
        <f>AVERAGE(AD157,AC157,AA157,Z157)</f>
        <v>7.5536381002706043E-2</v>
      </c>
      <c r="AF157" s="119">
        <f>AVERAGE(AE157,AD157,AC157,AA157)</f>
        <v>7.5480274737465089E-2</v>
      </c>
      <c r="AG157" s="31"/>
      <c r="AH157" s="119">
        <f>AVERAGE(AF157,AE157,AD157,AC157)</f>
        <v>7.5481765716392327E-2</v>
      </c>
      <c r="AI157" s="119">
        <f>AVERAGE(AH157,AF157,AE157,AD157)</f>
        <v>7.5512162001201852E-2</v>
      </c>
      <c r="AJ157" s="119">
        <f>AVERAGE(AI157,AH157,AF157,AE157)</f>
        <v>7.5502645864441331E-2</v>
      </c>
      <c r="AK157" s="119">
        <f>AVERAGE(AJ157,AI157,AH157,AF157)</f>
        <v>7.5494212079875153E-2</v>
      </c>
      <c r="AL157" s="31"/>
      <c r="AM157" s="119">
        <f>AVERAGE(AK157,AJ157,AI157,AH157)</f>
        <v>7.5497696415477669E-2</v>
      </c>
      <c r="AN157" s="119">
        <f>AVERAGE(AM157,AK157,AJ157,AI157)</f>
        <v>7.5501679090249005E-2</v>
      </c>
      <c r="AO157" s="119">
        <f>AVERAGE(AN157,AM157,AK157,AJ157)</f>
        <v>7.5499058362510793E-2</v>
      </c>
      <c r="AP157" s="119">
        <f>AVERAGE(AO157,AN157,AM157,AK157)</f>
        <v>7.5498161487028162E-2</v>
      </c>
      <c r="AQ157" s="31"/>
    </row>
    <row r="158" spans="2:43" x14ac:dyDescent="0.25">
      <c r="B158" s="292" t="s">
        <v>301</v>
      </c>
      <c r="C158" s="293"/>
      <c r="D158" s="116">
        <v>65</v>
      </c>
      <c r="E158" s="116">
        <v>62</v>
      </c>
      <c r="F158" s="116">
        <v>62</v>
      </c>
      <c r="G158" s="116">
        <v>65</v>
      </c>
      <c r="H158" s="31"/>
      <c r="I158" s="116">
        <v>65</v>
      </c>
      <c r="J158" s="116">
        <v>62</v>
      </c>
      <c r="K158" s="116">
        <v>62</v>
      </c>
      <c r="L158" s="116">
        <v>65</v>
      </c>
      <c r="M158" s="31"/>
      <c r="N158" s="116">
        <v>65</v>
      </c>
      <c r="O158" s="116">
        <v>62</v>
      </c>
      <c r="P158" s="116">
        <v>62</v>
      </c>
      <c r="Q158" s="116">
        <v>65</v>
      </c>
      <c r="R158" s="31"/>
      <c r="S158" s="117">
        <v>65</v>
      </c>
      <c r="T158" s="117">
        <v>62</v>
      </c>
      <c r="U158" s="117">
        <v>62</v>
      </c>
      <c r="V158" s="117">
        <v>65</v>
      </c>
      <c r="W158" s="31"/>
      <c r="X158" s="117">
        <v>65</v>
      </c>
      <c r="Y158" s="117">
        <v>62</v>
      </c>
      <c r="Z158" s="117">
        <v>62</v>
      </c>
      <c r="AA158" s="117">
        <v>65</v>
      </c>
      <c r="AB158" s="31"/>
      <c r="AC158" s="117">
        <v>65</v>
      </c>
      <c r="AD158" s="117">
        <v>62</v>
      </c>
      <c r="AE158" s="117">
        <v>62</v>
      </c>
      <c r="AF158" s="117">
        <v>65</v>
      </c>
      <c r="AG158" s="31"/>
      <c r="AH158" s="117">
        <v>65</v>
      </c>
      <c r="AI158" s="117">
        <v>62</v>
      </c>
      <c r="AJ158" s="117">
        <v>62</v>
      </c>
      <c r="AK158" s="117">
        <v>65</v>
      </c>
      <c r="AL158" s="31"/>
      <c r="AM158" s="117">
        <v>65</v>
      </c>
      <c r="AN158" s="117">
        <v>62</v>
      </c>
      <c r="AO158" s="117">
        <v>62</v>
      </c>
      <c r="AP158" s="117">
        <v>65</v>
      </c>
      <c r="AQ158" s="31"/>
    </row>
    <row r="159" spans="2:43" outlineLevel="1" x14ac:dyDescent="0.25">
      <c r="B159" s="326" t="s">
        <v>235</v>
      </c>
      <c r="C159" s="144"/>
      <c r="D159" s="246">
        <f>+D152*D158*D156/1000</f>
        <v>1501.7570704500001</v>
      </c>
      <c r="E159" s="246">
        <f>+E152*E158*E156/1000</f>
        <v>1446.8645747999999</v>
      </c>
      <c r="F159" s="246">
        <f>+F152*F158*F156/1000</f>
        <v>1360.50678608</v>
      </c>
      <c r="G159" s="246">
        <f>+G152*G158*G156/1000</f>
        <v>1515.53934675</v>
      </c>
      <c r="H159" s="33"/>
      <c r="I159" s="246">
        <f>+I152*I158*I156/1000</f>
        <v>1561.5074881639998</v>
      </c>
      <c r="J159" s="246">
        <f>+J152*J158*J156/1000</f>
        <v>1502.253025</v>
      </c>
      <c r="K159" s="246">
        <f>+K152*K158*K156/1000</f>
        <v>1406.3394937199998</v>
      </c>
      <c r="L159" s="246">
        <f>+L152*L158*L156/1000</f>
        <v>1600.1240527999998</v>
      </c>
      <c r="M159" s="33"/>
      <c r="N159" s="246">
        <f>+N152*N158*N156/1000</f>
        <v>1664.0875679999999</v>
      </c>
      <c r="O159" s="246">
        <f>+O152*O158*O156/1000</f>
        <v>1672.8426881600001</v>
      </c>
      <c r="P159" s="246">
        <f>+P152*P158*P156/1000</f>
        <v>1612.5039360000001</v>
      </c>
      <c r="Q159" s="246">
        <f>+Q152*Q158*Q156/1000</f>
        <v>1862.3914919999997</v>
      </c>
      <c r="R159" s="327"/>
      <c r="S159" s="246">
        <f>+S152*S158*S156/1000</f>
        <v>1867.383484338194</v>
      </c>
      <c r="T159" s="246">
        <f>+T152*T158*T156/1000</f>
        <v>1901.1586055035941</v>
      </c>
      <c r="U159" s="246">
        <f>+U152*U158*U156/1000</f>
        <v>1841.8811503012982</v>
      </c>
      <c r="V159" s="246">
        <f>+V152*V158*V156/1000</f>
        <v>2125.2912737796664</v>
      </c>
      <c r="W159" s="33"/>
      <c r="X159" s="246">
        <f>+X152*X158*X156/1000</f>
        <v>2120.4200692318386</v>
      </c>
      <c r="Y159" s="246">
        <f>+Y152*Y158*Y156/1000</f>
        <v>2165.1308993016237</v>
      </c>
      <c r="Z159" s="246">
        <f>+Z152*Z158*Z156/1000</f>
        <v>2098.7121491021312</v>
      </c>
      <c r="AA159" s="246">
        <f>+AA152*AA158*AA156/1000</f>
        <v>2420.1491734590586</v>
      </c>
      <c r="AB159" s="33"/>
      <c r="AC159" s="246">
        <f>+AC152*AC158*AC156/1000</f>
        <v>2413.3172821712437</v>
      </c>
      <c r="AD159" s="246">
        <f>+AD152*AD158*AD156/1000</f>
        <v>2465.6276827592364</v>
      </c>
      <c r="AE159" s="246">
        <f>+AE152*AE158*AE156/1000</f>
        <v>2389.9598141347083</v>
      </c>
      <c r="AF159" s="246">
        <f>+AF152*AF158*AF156/1000</f>
        <v>2755.6017861781429</v>
      </c>
      <c r="AG159" s="33"/>
      <c r="AH159" s="246">
        <f>+AH152*AH158*AH156/1000</f>
        <v>2747.744864762652</v>
      </c>
      <c r="AI159" s="246">
        <f>+AI152*AI158*AI156/1000</f>
        <v>2807.5780574585942</v>
      </c>
      <c r="AJ159" s="246">
        <f>+AJ152*AJ158*AJ156/1000</f>
        <v>2721.3549499598457</v>
      </c>
      <c r="AK159" s="246">
        <f>+AK152*AK158*AK156/1000</f>
        <v>3137.619441493101</v>
      </c>
      <c r="AL159" s="33"/>
      <c r="AM159" s="246">
        <f>+AM152*AM158*AM156/1000</f>
        <v>3128.6903786007806</v>
      </c>
      <c r="AN159" s="246">
        <f>+AN152*AN158*AN156/1000</f>
        <v>3196.8633379371809</v>
      </c>
      <c r="AO159" s="246">
        <f>+AO152*AO158*AO156/1000</f>
        <v>3098.6633464622209</v>
      </c>
      <c r="AP159" s="246">
        <f>+AP152*AP158*AP156/1000</f>
        <v>3572.6306854216182</v>
      </c>
      <c r="AQ159" s="33"/>
    </row>
    <row r="160" spans="2:43" outlineLevel="1" x14ac:dyDescent="0.25">
      <c r="B160" s="112" t="s">
        <v>232</v>
      </c>
      <c r="C160" s="111"/>
      <c r="D160" s="321">
        <f>ROUND((130-D165),0)</f>
        <v>0</v>
      </c>
      <c r="E160" s="321">
        <f>ROUND((98-E165),0)</f>
        <v>0</v>
      </c>
      <c r="F160" s="321">
        <f>ROUND((56-F165),0)</f>
        <v>0</v>
      </c>
      <c r="G160" s="321">
        <f>ROUND((137-G165),0)</f>
        <v>0</v>
      </c>
      <c r="H160" s="113"/>
      <c r="I160" s="321">
        <f>ROUND((133-I165),0)</f>
        <v>0</v>
      </c>
      <c r="J160" s="321">
        <f>ROUND((86-J165),0)</f>
        <v>0</v>
      </c>
      <c r="K160" s="321">
        <f>ROUND((41-K165),0)</f>
        <v>0</v>
      </c>
      <c r="L160" s="321">
        <f>ROUND((130-L165),0)</f>
        <v>0</v>
      </c>
      <c r="M160" s="113"/>
      <c r="N160" s="321">
        <f>ROUND((171-N165),0)</f>
        <v>0</v>
      </c>
      <c r="O160" s="321">
        <f>ROUND((115-O165),0)</f>
        <v>0</v>
      </c>
      <c r="P160" s="321">
        <f>ROUND((56-P165),0)</f>
        <v>0</v>
      </c>
      <c r="Q160" s="321">
        <f>ROUND((175-Q165),0)</f>
        <v>0</v>
      </c>
      <c r="R160" s="168"/>
      <c r="S160" s="146"/>
      <c r="T160" s="146"/>
      <c r="U160" s="146"/>
      <c r="V160" s="146"/>
      <c r="W160" s="113"/>
      <c r="X160" s="146"/>
      <c r="Y160" s="146"/>
      <c r="Z160" s="146"/>
      <c r="AA160" s="146"/>
      <c r="AB160" s="113"/>
      <c r="AC160" s="146"/>
      <c r="AD160" s="146"/>
      <c r="AE160" s="146"/>
      <c r="AF160" s="146"/>
      <c r="AG160" s="113"/>
      <c r="AH160" s="146"/>
      <c r="AI160" s="146"/>
      <c r="AJ160" s="146"/>
      <c r="AK160" s="146"/>
      <c r="AL160" s="113"/>
      <c r="AM160" s="146"/>
      <c r="AN160" s="146"/>
      <c r="AO160" s="146"/>
      <c r="AP160" s="146"/>
      <c r="AQ160" s="113"/>
    </row>
    <row r="161" spans="2:43" outlineLevel="1" x14ac:dyDescent="0.25">
      <c r="B161" s="104" t="s">
        <v>126</v>
      </c>
      <c r="C161" s="111"/>
      <c r="D161" s="145">
        <v>102</v>
      </c>
      <c r="E161" s="145">
        <v>95</v>
      </c>
      <c r="F161" s="145">
        <v>80</v>
      </c>
      <c r="G161" s="145">
        <v>86</v>
      </c>
      <c r="H161" s="113"/>
      <c r="I161" s="145">
        <v>91</v>
      </c>
      <c r="J161" s="145">
        <v>92</v>
      </c>
      <c r="K161" s="145">
        <v>99</v>
      </c>
      <c r="L161" s="145">
        <v>102</v>
      </c>
      <c r="M161" s="113"/>
      <c r="N161" s="145">
        <v>97</v>
      </c>
      <c r="O161" s="145">
        <v>112</v>
      </c>
      <c r="P161" s="145">
        <v>127</v>
      </c>
      <c r="Q161" s="145">
        <v>135</v>
      </c>
      <c r="R161" s="113"/>
      <c r="S161" s="117">
        <f>AVERAGE(Q161,P161,O161,N161)</f>
        <v>117.75</v>
      </c>
      <c r="T161" s="117">
        <f>AVERAGE(S161,Q161,P161,O161)</f>
        <v>122.9375</v>
      </c>
      <c r="U161" s="117">
        <f>AVERAGE(T161,S161,Q161,P161)</f>
        <v>125.671875</v>
      </c>
      <c r="V161" s="117">
        <f>AVERAGE(U161,T161,S161,Q161)</f>
        <v>125.33984375</v>
      </c>
      <c r="W161" s="113"/>
      <c r="X161" s="117">
        <f>AVERAGE(V161,U161,T161,S161)</f>
        <v>122.9248046875</v>
      </c>
      <c r="Y161" s="117">
        <f>AVERAGE(X161,V161,U161,T161)</f>
        <v>124.218505859375</v>
      </c>
      <c r="Z161" s="117">
        <f>AVERAGE(Y161,X161,V161,U161)</f>
        <v>124.53875732421875</v>
      </c>
      <c r="AA161" s="117">
        <f>AVERAGE(Z161,Y161,X161,V161)</f>
        <v>124.25547790527344</v>
      </c>
      <c r="AB161" s="113"/>
      <c r="AC161" s="117">
        <f>AVERAGE(AA161,Z161,Y161,X161)</f>
        <v>123.9843864440918</v>
      </c>
      <c r="AD161" s="117">
        <f>AVERAGE(AC161,AA161,Z161,Y161)</f>
        <v>124.24928188323975</v>
      </c>
      <c r="AE161" s="117">
        <f>AVERAGE(AD161,AC161,AA161,Z161)</f>
        <v>124.25697588920593</v>
      </c>
      <c r="AF161" s="117">
        <f>AVERAGE(AE161,AD161,AC161,AA161)</f>
        <v>124.18653053045273</v>
      </c>
      <c r="AG161" s="113"/>
      <c r="AH161" s="117">
        <f>AVERAGE(AF161,AE161,AD161,AC161)</f>
        <v>124.16929368674755</v>
      </c>
      <c r="AI161" s="117">
        <f>AVERAGE(AH161,AF161,AE161,AD161)</f>
        <v>124.21552049741149</v>
      </c>
      <c r="AJ161" s="117">
        <f>AVERAGE(AI161,AH161,AF161,AE161)</f>
        <v>124.20708015095443</v>
      </c>
      <c r="AK161" s="117">
        <f>AVERAGE(AJ161,AI161,AH161,AF161)</f>
        <v>124.19460621639155</v>
      </c>
      <c r="AL161" s="113"/>
      <c r="AM161" s="117">
        <f>AVERAGE(AK161,AJ161,AI161,AH161)</f>
        <v>124.19662513787625</v>
      </c>
      <c r="AN161" s="117">
        <f>AVERAGE(AM161,AK161,AJ161,AI161)</f>
        <v>124.20345800065843</v>
      </c>
      <c r="AO161" s="117">
        <f>AVERAGE(AN161,AM161,AK161,AJ161)</f>
        <v>124.20044237647016</v>
      </c>
      <c r="AP161" s="117">
        <f>AVERAGE(AO161,AN161,AM161,AK161)</f>
        <v>124.1987829328491</v>
      </c>
      <c r="AQ161" s="113"/>
    </row>
    <row r="162" spans="2:43" outlineLevel="1" x14ac:dyDescent="0.25">
      <c r="B162" s="104" t="s">
        <v>125</v>
      </c>
      <c r="C162" s="111"/>
      <c r="D162" s="145">
        <v>58</v>
      </c>
      <c r="E162" s="145">
        <v>60</v>
      </c>
      <c r="F162" s="145">
        <v>64</v>
      </c>
      <c r="G162" s="145">
        <v>62</v>
      </c>
      <c r="H162" s="113"/>
      <c r="I162" s="145">
        <v>63</v>
      </c>
      <c r="J162" s="145">
        <v>65</v>
      </c>
      <c r="K162" s="145">
        <v>68</v>
      </c>
      <c r="L162" s="145">
        <v>69</v>
      </c>
      <c r="M162" s="113"/>
      <c r="N162" s="145">
        <v>68</v>
      </c>
      <c r="O162" s="145">
        <v>72</v>
      </c>
      <c r="P162" s="145">
        <v>76</v>
      </c>
      <c r="Q162" s="145">
        <v>80</v>
      </c>
      <c r="R162" s="113"/>
      <c r="S162" s="145">
        <f>Q162/(Q66+Q145+Q162+Q176)*S18</f>
        <v>0</v>
      </c>
      <c r="T162" s="145" t="e">
        <f>S162/(S66+S145+S162+S176)*T18</f>
        <v>#DIV/0!</v>
      </c>
      <c r="U162" s="145" t="e">
        <f>T162/(T66+T145+T162+T176)*U18</f>
        <v>#DIV/0!</v>
      </c>
      <c r="V162" s="145" t="e">
        <f>U162/(U66+U145+U162+U176)*V18</f>
        <v>#DIV/0!</v>
      </c>
      <c r="W162" s="113"/>
      <c r="X162" s="145" t="e">
        <f>V162/(V66+V145+V162+V176)*X18</f>
        <v>#DIV/0!</v>
      </c>
      <c r="Y162" s="145" t="e">
        <f>X162/(X66+X145+X162+X176)*Y18</f>
        <v>#DIV/0!</v>
      </c>
      <c r="Z162" s="145" t="e">
        <f>Y162/(Y66+Y145+Y162+Y176)*Z18</f>
        <v>#DIV/0!</v>
      </c>
      <c r="AA162" s="145" t="e">
        <f>Z162/(Z66+Z145+Z162+Z176)*AA18</f>
        <v>#DIV/0!</v>
      </c>
      <c r="AB162" s="113"/>
      <c r="AC162" s="145" t="e">
        <f>AA162/(AA66+AA145+AA162+AA176)*AC18</f>
        <v>#DIV/0!</v>
      </c>
      <c r="AD162" s="145" t="e">
        <f>AC162/(AC66+AC145+AC162+AC176)*AD18</f>
        <v>#DIV/0!</v>
      </c>
      <c r="AE162" s="145" t="e">
        <f>AD162/(AD66+AD145+AD162+AD176)*AE18</f>
        <v>#DIV/0!</v>
      </c>
      <c r="AF162" s="145" t="e">
        <f>AE162/(AE66+AE145+AE162+AE176)*AF18</f>
        <v>#DIV/0!</v>
      </c>
      <c r="AG162" s="113"/>
      <c r="AH162" s="145" t="e">
        <f>AF162/(AF66+AF145+AF162+AF176)*AH18</f>
        <v>#DIV/0!</v>
      </c>
      <c r="AI162" s="145" t="e">
        <f>AH162/(AH66+AH145+AH162+AH176)*AI18</f>
        <v>#DIV/0!</v>
      </c>
      <c r="AJ162" s="145" t="e">
        <f>AI162/(AI66+AI145+AI162+AI176)*AJ18</f>
        <v>#DIV/0!</v>
      </c>
      <c r="AK162" s="145" t="e">
        <f>AJ162/(AJ66+AJ145+AJ162+AJ176)*AK18</f>
        <v>#DIV/0!</v>
      </c>
      <c r="AL162" s="113"/>
      <c r="AM162" s="145" t="e">
        <f>AK162/(AK66+AK145+AK162+AK176)*AM18</f>
        <v>#DIV/0!</v>
      </c>
      <c r="AN162" s="145" t="e">
        <f>AM162/(AM66+AM145+AM162+AM176)*AN18</f>
        <v>#DIV/0!</v>
      </c>
      <c r="AO162" s="145" t="e">
        <f>AN162/(AN66+AN145+AN162+AN176)*AO18</f>
        <v>#DIV/0!</v>
      </c>
      <c r="AP162" s="145" t="e">
        <f>AO162/(AO66+AO145+AO162+AO176)*AP18</f>
        <v>#DIV/0!</v>
      </c>
      <c r="AQ162" s="113"/>
    </row>
    <row r="163" spans="2:43" outlineLevel="1" x14ac:dyDescent="0.25">
      <c r="B163" s="104" t="s">
        <v>221</v>
      </c>
      <c r="C163" s="111"/>
      <c r="D163" s="145">
        <v>1212</v>
      </c>
      <c r="E163" s="145">
        <v>1194</v>
      </c>
      <c r="F163" s="145">
        <v>1161</v>
      </c>
      <c r="G163" s="145">
        <v>1231</v>
      </c>
      <c r="H163" s="113"/>
      <c r="I163" s="145">
        <v>1275</v>
      </c>
      <c r="J163" s="145">
        <v>1259</v>
      </c>
      <c r="K163" s="145">
        <v>1198</v>
      </c>
      <c r="L163" s="145">
        <v>1299</v>
      </c>
      <c r="M163" s="113"/>
      <c r="N163" s="145">
        <v>1328</v>
      </c>
      <c r="O163" s="145">
        <v>1374</v>
      </c>
      <c r="P163" s="145">
        <v>1354</v>
      </c>
      <c r="Q163" s="145">
        <v>1472</v>
      </c>
      <c r="R163" s="113"/>
      <c r="S163" s="145">
        <f>+S164*S159</f>
        <v>1516.9973522040727</v>
      </c>
      <c r="T163" s="145">
        <f>+T164*T159</f>
        <v>1551.246114459118</v>
      </c>
      <c r="U163" s="145">
        <f>+U164*U159</f>
        <v>1500.3883047727213</v>
      </c>
      <c r="V163" s="145">
        <f>+V164*V159</f>
        <v>1717.9208578383489</v>
      </c>
      <c r="W163" s="113"/>
      <c r="X163" s="145">
        <f>+X164*X159</f>
        <v>1723.4939306444239</v>
      </c>
      <c r="Y163" s="145">
        <f>+Y164*Y159</f>
        <v>1760.0748041016475</v>
      </c>
      <c r="Z163" s="145">
        <f>+Z164*Z159</f>
        <v>1704.4923510480419</v>
      </c>
      <c r="AA163" s="145">
        <f>+AA164*AA159</f>
        <v>1964.0780198453228</v>
      </c>
      <c r="AB163" s="113"/>
      <c r="AC163" s="145">
        <f>+AC164*AC159</f>
        <v>1960.4822833503824</v>
      </c>
      <c r="AD163" s="145">
        <f>+AD164*AD159</f>
        <v>2002.7011053436595</v>
      </c>
      <c r="AE163" s="145">
        <f>+AE164*AE159</f>
        <v>1940.8394469034529</v>
      </c>
      <c r="AF163" s="145">
        <f>+AF164*AF159</f>
        <v>2237.7145039160614</v>
      </c>
      <c r="AG163" s="113"/>
      <c r="AH163" s="145">
        <f>+AH164*AH159</f>
        <v>2231.6829861388119</v>
      </c>
      <c r="AI163" s="145">
        <f>+AI164*AI159</f>
        <v>2280.1574323777295</v>
      </c>
      <c r="AJ163" s="145">
        <f>+AJ164*AJ159</f>
        <v>2210.0610600682699</v>
      </c>
      <c r="AK163" s="145">
        <f>+AK164*AK159</f>
        <v>2548.1463414465297</v>
      </c>
      <c r="AL163" s="113"/>
      <c r="AM163" s="145">
        <f>+AM164*AM159</f>
        <v>2540.9472832791471</v>
      </c>
      <c r="AN163" s="145">
        <f>+AN164*AN159</f>
        <v>2596.2791271701158</v>
      </c>
      <c r="AO163" s="145">
        <f>+AO164*AO159</f>
        <v>2516.5194122018729</v>
      </c>
      <c r="AP163" s="145">
        <f>+AP164*AP159</f>
        <v>2901.4541764483233</v>
      </c>
      <c r="AQ163" s="113"/>
    </row>
    <row r="164" spans="2:43" outlineLevel="1" x14ac:dyDescent="0.25">
      <c r="B164" s="104" t="s">
        <v>223</v>
      </c>
      <c r="C164" s="111"/>
      <c r="D164" s="322">
        <f>+D163/D159</f>
        <v>0.80705463210293082</v>
      </c>
      <c r="E164" s="322">
        <f>+E163/E159</f>
        <v>0.82523272792482782</v>
      </c>
      <c r="F164" s="322">
        <f>+F163/F159</f>
        <v>0.85335847779573759</v>
      </c>
      <c r="G164" s="322">
        <f>+G163/G159</f>
        <v>0.81225208876286803</v>
      </c>
      <c r="H164" s="113"/>
      <c r="I164" s="322">
        <f>+I163/I159</f>
        <v>0.81651865883725505</v>
      </c>
      <c r="J164" s="322">
        <f>+J163/J159</f>
        <v>0.83807453141923283</v>
      </c>
      <c r="K164" s="322">
        <f>+K163/K159</f>
        <v>0.85185689895623462</v>
      </c>
      <c r="L164" s="322">
        <f>+L163/L159</f>
        <v>0.81181205777572452</v>
      </c>
      <c r="M164" s="113"/>
      <c r="N164" s="123">
        <f>+N163/N159</f>
        <v>0.79803492648891661</v>
      </c>
      <c r="O164" s="123">
        <f>+O163/O159</f>
        <v>0.82135637123852667</v>
      </c>
      <c r="P164" s="123">
        <f>+P163/P159</f>
        <v>0.83968787286110536</v>
      </c>
      <c r="Q164" s="123">
        <f>+Q163/Q159</f>
        <v>0.79038161757238112</v>
      </c>
      <c r="R164" s="156"/>
      <c r="S164" s="154">
        <f>AVERAGE(Q164,P164,O164,N164)</f>
        <v>0.81236519704023247</v>
      </c>
      <c r="T164" s="154">
        <f>AVERAGE(S164,Q164,P164,O164)</f>
        <v>0.8159477646780614</v>
      </c>
      <c r="U164" s="154">
        <f>AVERAGE(T164,S164,Q164,P164)</f>
        <v>0.81459561303794503</v>
      </c>
      <c r="V164" s="154">
        <f>AVERAGE(U164,T164,S164,Q164)</f>
        <v>0.80832254808215498</v>
      </c>
      <c r="W164" s="113"/>
      <c r="X164" s="154">
        <f>AVERAGE(V164,U164,T164,S164)</f>
        <v>0.81280778070959847</v>
      </c>
      <c r="Y164" s="154">
        <f>AVERAGE(X164,V164,U164,T164)</f>
        <v>0.81291842662693992</v>
      </c>
      <c r="Z164" s="154">
        <f>AVERAGE(Y164,X164,V164,U164)</f>
        <v>0.81216109211415966</v>
      </c>
      <c r="AA164" s="154">
        <f>AVERAGE(Z164,Y164,X164,V164)</f>
        <v>0.81155246188321328</v>
      </c>
      <c r="AB164" s="113"/>
      <c r="AC164" s="154">
        <f>AVERAGE(AA164,Z164,Y164,X164)</f>
        <v>0.8123599403334778</v>
      </c>
      <c r="AD164" s="154">
        <f>AVERAGE(AC164,AA164,Z164,Y164)</f>
        <v>0.81224798023944766</v>
      </c>
      <c r="AE164" s="154">
        <f>AVERAGE(AD164,AC164,AA164,Z164)</f>
        <v>0.8120803686425746</v>
      </c>
      <c r="AF164" s="154">
        <f>AVERAGE(AE164,AD164,AC164,AA164)</f>
        <v>0.81206018777467825</v>
      </c>
      <c r="AG164" s="113"/>
      <c r="AH164" s="154">
        <f>AVERAGE(AF164,AE164,AD164,AC164)</f>
        <v>0.8121871192475445</v>
      </c>
      <c r="AI164" s="154">
        <f>AVERAGE(AH164,AF164,AE164,AD164)</f>
        <v>0.81214391397606123</v>
      </c>
      <c r="AJ164" s="154">
        <f>AVERAGE(AI164,AH164,AF164,AE164)</f>
        <v>0.81211789741021467</v>
      </c>
      <c r="AK164" s="154">
        <f>AVERAGE(AJ164,AI164,AH164,AF164)</f>
        <v>0.81212727960212461</v>
      </c>
      <c r="AL164" s="113"/>
      <c r="AM164" s="154">
        <f>AVERAGE(AK164,AJ164,AI164,AH164)</f>
        <v>0.81214405255898625</v>
      </c>
      <c r="AN164" s="154">
        <f>AVERAGE(AM164,AK164,AJ164,AI164)</f>
        <v>0.81213328588684675</v>
      </c>
      <c r="AO164" s="154">
        <f>AVERAGE(AN164,AM164,AK164,AJ164)</f>
        <v>0.81213062886454301</v>
      </c>
      <c r="AP164" s="154">
        <f>AVERAGE(AO164,AN164,AM164,AK164)</f>
        <v>0.81213381172812515</v>
      </c>
      <c r="AQ164" s="113"/>
    </row>
    <row r="165" spans="2:43" outlineLevel="1" x14ac:dyDescent="0.25">
      <c r="B165" s="149" t="s">
        <v>233</v>
      </c>
      <c r="C165" s="111"/>
      <c r="D165" s="146">
        <f t="shared" ref="D165:Q165" si="23">+D159-D162-D163-D161</f>
        <v>129.75707045000013</v>
      </c>
      <c r="E165" s="146">
        <f t="shared" si="23"/>
        <v>97.8645747999999</v>
      </c>
      <c r="F165" s="146">
        <f t="shared" si="23"/>
        <v>55.506786079999983</v>
      </c>
      <c r="G165" s="146">
        <f t="shared" si="23"/>
        <v>136.53934675000005</v>
      </c>
      <c r="H165" s="113">
        <f t="shared" si="23"/>
        <v>0</v>
      </c>
      <c r="I165" s="146">
        <f t="shared" si="23"/>
        <v>132.50748816399982</v>
      </c>
      <c r="J165" s="146">
        <f t="shared" si="23"/>
        <v>86.25302499999998</v>
      </c>
      <c r="K165" s="146">
        <f t="shared" si="23"/>
        <v>41.339493719999837</v>
      </c>
      <c r="L165" s="146">
        <f t="shared" si="23"/>
        <v>130.12405279999984</v>
      </c>
      <c r="M165" s="113">
        <f t="shared" si="23"/>
        <v>0</v>
      </c>
      <c r="N165" s="146">
        <f t="shared" si="23"/>
        <v>171.08756799999992</v>
      </c>
      <c r="O165" s="146">
        <f t="shared" si="23"/>
        <v>114.84268816000008</v>
      </c>
      <c r="P165" s="146">
        <f t="shared" si="23"/>
        <v>55.503936000000067</v>
      </c>
      <c r="Q165" s="146">
        <f t="shared" si="23"/>
        <v>175.39149199999974</v>
      </c>
      <c r="R165" s="168"/>
      <c r="S165" s="146">
        <f>+S159-S162-S163-S161</f>
        <v>232.63613213412123</v>
      </c>
      <c r="T165" s="146" t="e">
        <f>+T159-T162-T163-T161</f>
        <v>#DIV/0!</v>
      </c>
      <c r="U165" s="146" t="e">
        <f>+U159-U162-U163-U161</f>
        <v>#DIV/0!</v>
      </c>
      <c r="V165" s="146" t="e">
        <f>+V159-V162-V163-V161</f>
        <v>#DIV/0!</v>
      </c>
      <c r="W165" s="113"/>
      <c r="X165" s="146" t="e">
        <f>+X159-X162-X163-X161</f>
        <v>#DIV/0!</v>
      </c>
      <c r="Y165" s="146" t="e">
        <f>+Y159-Y162-Y163-Y161</f>
        <v>#DIV/0!</v>
      </c>
      <c r="Z165" s="146" t="e">
        <f>+Z159-Z162-Z163-Z161</f>
        <v>#DIV/0!</v>
      </c>
      <c r="AA165" s="146" t="e">
        <f>+AA159-AA162-AA163-AA161</f>
        <v>#DIV/0!</v>
      </c>
      <c r="AB165" s="113"/>
      <c r="AC165" s="146" t="e">
        <f>+AC159-AC162-AC163-AC161</f>
        <v>#DIV/0!</v>
      </c>
      <c r="AD165" s="146" t="e">
        <f>+AD159-AD162-AD163-AD161</f>
        <v>#DIV/0!</v>
      </c>
      <c r="AE165" s="146" t="e">
        <f>+AE159-AE162-AE163-AE161</f>
        <v>#DIV/0!</v>
      </c>
      <c r="AF165" s="146" t="e">
        <f>+AF159-AF162-AF163-AF161</f>
        <v>#DIV/0!</v>
      </c>
      <c r="AG165" s="113"/>
      <c r="AH165" s="146" t="e">
        <f>+AH159-AH162-AH163-AH161</f>
        <v>#DIV/0!</v>
      </c>
      <c r="AI165" s="146" t="e">
        <f>+AI159-AI162-AI163-AI161</f>
        <v>#DIV/0!</v>
      </c>
      <c r="AJ165" s="146" t="e">
        <f>+AJ159-AJ162-AJ163-AJ161</f>
        <v>#DIV/0!</v>
      </c>
      <c r="AK165" s="146" t="e">
        <f>+AK159-AK162-AK163-AK161</f>
        <v>#DIV/0!</v>
      </c>
      <c r="AL165" s="113"/>
      <c r="AM165" s="146" t="e">
        <f>+AM159-AM162-AM163-AM161</f>
        <v>#DIV/0!</v>
      </c>
      <c r="AN165" s="146" t="e">
        <f>+AN159-AN162-AN163-AN161</f>
        <v>#DIV/0!</v>
      </c>
      <c r="AO165" s="146" t="e">
        <f>+AO159-AO162-AO163-AO161</f>
        <v>#DIV/0!</v>
      </c>
      <c r="AP165" s="146" t="e">
        <f>+AP159-AP162-AP163-AP161</f>
        <v>#DIV/0!</v>
      </c>
      <c r="AQ165" s="113"/>
    </row>
    <row r="166" spans="2:43" outlineLevel="1" x14ac:dyDescent="0.25">
      <c r="B166" s="149" t="s">
        <v>234</v>
      </c>
      <c r="C166" s="108"/>
      <c r="D166" s="170">
        <f>+D165/(D159)</f>
        <v>8.6403502272919902E-2</v>
      </c>
      <c r="E166" s="170">
        <f>+E165/(E159)</f>
        <v>6.7639070376388E-2</v>
      </c>
      <c r="F166" s="170">
        <f>+F165/(F159)</f>
        <v>4.0798610229597264E-2</v>
      </c>
      <c r="G166" s="170">
        <f>+G165/(G159)</f>
        <v>9.0092907876527253E-2</v>
      </c>
      <c r="H166" s="114"/>
      <c r="I166" s="170">
        <f>+I165/(I159)</f>
        <v>8.4858695311029478E-2</v>
      </c>
      <c r="J166" s="170">
        <f>+J165/(J159)</f>
        <v>5.7415777212364065E-2</v>
      </c>
      <c r="K166" s="170">
        <f>+K165/(K159)</f>
        <v>2.9395102608296992E-2</v>
      </c>
      <c r="L166" s="170">
        <f>+L165/(L159)</f>
        <v>8.13212279212355E-2</v>
      </c>
      <c r="M166" s="114"/>
      <c r="N166" s="170">
        <f>+N165/(N159)</f>
        <v>0.10281163761449356</v>
      </c>
      <c r="O166" s="170">
        <f>+O165/(O159)</f>
        <v>6.865121805704176E-2</v>
      </c>
      <c r="P166" s="170">
        <f>+P165/(P159)</f>
        <v>3.4420961562229679E-2</v>
      </c>
      <c r="Q166" s="170">
        <f>+Q165/(Q159)</f>
        <v>9.4175415187087719E-2</v>
      </c>
      <c r="R166" s="151"/>
      <c r="S166" s="170">
        <f>+S165/(S159)</f>
        <v>0.12457865997276298</v>
      </c>
      <c r="T166" s="170" t="e">
        <f>+T165/(T159)</f>
        <v>#DIV/0!</v>
      </c>
      <c r="U166" s="170" t="e">
        <f>+U165/(U159)</f>
        <v>#DIV/0!</v>
      </c>
      <c r="V166" s="170" t="e">
        <f>+V165/(V159)</f>
        <v>#DIV/0!</v>
      </c>
      <c r="W166" s="114"/>
      <c r="X166" s="170" t="e">
        <f>+X165/(X159)</f>
        <v>#DIV/0!</v>
      </c>
      <c r="Y166" s="170" t="e">
        <f>+Y165/(Y159)</f>
        <v>#DIV/0!</v>
      </c>
      <c r="Z166" s="170" t="e">
        <f>+Z165/(Z159)</f>
        <v>#DIV/0!</v>
      </c>
      <c r="AA166" s="170" t="e">
        <f>+AA165/(AA159)</f>
        <v>#DIV/0!</v>
      </c>
      <c r="AB166" s="114"/>
      <c r="AC166" s="170" t="e">
        <f>+AC165/(AC159)</f>
        <v>#DIV/0!</v>
      </c>
      <c r="AD166" s="170" t="e">
        <f>+AD165/(AD159)</f>
        <v>#DIV/0!</v>
      </c>
      <c r="AE166" s="170" t="e">
        <f>+AE165/(AE159)</f>
        <v>#DIV/0!</v>
      </c>
      <c r="AF166" s="170" t="e">
        <f>+AF165/(AF159)</f>
        <v>#DIV/0!</v>
      </c>
      <c r="AG166" s="114"/>
      <c r="AH166" s="170" t="e">
        <f>+AH165/(AH159)</f>
        <v>#DIV/0!</v>
      </c>
      <c r="AI166" s="170" t="e">
        <f>+AI165/(AI159)</f>
        <v>#DIV/0!</v>
      </c>
      <c r="AJ166" s="170" t="e">
        <f>+AJ165/(AJ159)</f>
        <v>#DIV/0!</v>
      </c>
      <c r="AK166" s="170" t="e">
        <f>+AK165/(AK159)</f>
        <v>#DIV/0!</v>
      </c>
      <c r="AL166" s="114"/>
      <c r="AM166" s="170" t="e">
        <f>+AM165/(AM159)</f>
        <v>#DIV/0!</v>
      </c>
      <c r="AN166" s="170" t="e">
        <f>+AN165/(AN159)</f>
        <v>#DIV/0!</v>
      </c>
      <c r="AO166" s="170" t="e">
        <f>+AO165/(AO159)</f>
        <v>#DIV/0!</v>
      </c>
      <c r="AP166" s="170" t="e">
        <f>+AP165/(AP159)</f>
        <v>#DIV/0!</v>
      </c>
      <c r="AQ166" s="114"/>
    </row>
    <row r="167" spans="2:43" ht="15.75" x14ac:dyDescent="0.25">
      <c r="B167" s="532" t="s">
        <v>217</v>
      </c>
      <c r="C167" s="540"/>
      <c r="D167" s="67" t="s">
        <v>52</v>
      </c>
      <c r="E167" s="67" t="s">
        <v>55</v>
      </c>
      <c r="F167" s="67" t="s">
        <v>56</v>
      </c>
      <c r="G167" s="67" t="s">
        <v>60</v>
      </c>
      <c r="H167" s="403"/>
      <c r="I167" s="67" t="s">
        <v>62</v>
      </c>
      <c r="J167" s="67" t="s">
        <v>73</v>
      </c>
      <c r="K167" s="67" t="s">
        <v>77</v>
      </c>
      <c r="L167" s="67" t="s">
        <v>81</v>
      </c>
      <c r="M167" s="403"/>
      <c r="N167" s="67" t="s">
        <v>83</v>
      </c>
      <c r="O167" s="67" t="s">
        <v>84</v>
      </c>
      <c r="P167" s="67" t="s">
        <v>85</v>
      </c>
      <c r="Q167" s="67" t="s">
        <v>86</v>
      </c>
      <c r="R167" s="403"/>
      <c r="S167" s="69" t="s">
        <v>344</v>
      </c>
      <c r="T167" s="69" t="s">
        <v>345</v>
      </c>
      <c r="U167" s="69" t="s">
        <v>346</v>
      </c>
      <c r="V167" s="69" t="s">
        <v>347</v>
      </c>
      <c r="W167" s="407"/>
      <c r="X167" s="69" t="s">
        <v>349</v>
      </c>
      <c r="Y167" s="69" t="s">
        <v>350</v>
      </c>
      <c r="Z167" s="69" t="s">
        <v>351</v>
      </c>
      <c r="AA167" s="69" t="s">
        <v>352</v>
      </c>
      <c r="AB167" s="407"/>
      <c r="AC167" s="69" t="s">
        <v>354</v>
      </c>
      <c r="AD167" s="69" t="s">
        <v>355</v>
      </c>
      <c r="AE167" s="69" t="s">
        <v>356</v>
      </c>
      <c r="AF167" s="69" t="s">
        <v>357</v>
      </c>
      <c r="AG167" s="407"/>
      <c r="AH167" s="69" t="s">
        <v>359</v>
      </c>
      <c r="AI167" s="69" t="s">
        <v>360</v>
      </c>
      <c r="AJ167" s="69" t="s">
        <v>361</v>
      </c>
      <c r="AK167" s="69" t="s">
        <v>362</v>
      </c>
      <c r="AL167" s="407"/>
      <c r="AM167" s="69" t="s">
        <v>364</v>
      </c>
      <c r="AN167" s="69" t="s">
        <v>365</v>
      </c>
      <c r="AO167" s="69" t="s">
        <v>366</v>
      </c>
      <c r="AP167" s="69" t="s">
        <v>367</v>
      </c>
      <c r="AQ167" s="407"/>
    </row>
    <row r="168" spans="2:43" ht="15.75" outlineLevel="1" x14ac:dyDescent="0.25">
      <c r="B168" s="302" t="s">
        <v>218</v>
      </c>
      <c r="C168" s="152"/>
      <c r="D168" s="116">
        <v>390</v>
      </c>
      <c r="E168" s="116">
        <v>403</v>
      </c>
      <c r="F168" s="116">
        <v>384</v>
      </c>
      <c r="G168" s="116">
        <v>416</v>
      </c>
      <c r="H168" s="147"/>
      <c r="I168" s="116">
        <v>395</v>
      </c>
      <c r="J168" s="116">
        <v>414</v>
      </c>
      <c r="K168" s="116">
        <v>389</v>
      </c>
      <c r="L168" s="116">
        <v>423</v>
      </c>
      <c r="M168" s="147"/>
      <c r="N168" s="116">
        <v>400</v>
      </c>
      <c r="O168" s="116">
        <v>416</v>
      </c>
      <c r="P168" s="116">
        <v>397</v>
      </c>
      <c r="Q168" s="241">
        <v>437</v>
      </c>
      <c r="R168" s="27"/>
      <c r="S168" s="101">
        <f>+N168*(1+S169)</f>
        <v>407.11516251356744</v>
      </c>
      <c r="T168" s="101">
        <f>+O168*(1+T169)</f>
        <v>423.9332555714351</v>
      </c>
      <c r="U168" s="101">
        <f>+P168*(1+U169)</f>
        <v>405.9841806253043</v>
      </c>
      <c r="V168" s="101">
        <f>+Q168*(1+V169)</f>
        <v>447.11494804411433</v>
      </c>
      <c r="W168" s="31"/>
      <c r="X168" s="101">
        <f>+S168*(1+X169)</f>
        <v>415.52562684939096</v>
      </c>
      <c r="Y168" s="101">
        <f>+T168*(1+Y169)</f>
        <v>432.99541436695694</v>
      </c>
      <c r="Z168" s="101">
        <f>+U168*(1+Z169)</f>
        <v>414.8967086306202</v>
      </c>
      <c r="AA168" s="101">
        <f>+V168*(1+AA169)</f>
        <v>456.85470960947225</v>
      </c>
      <c r="AB168" s="31"/>
      <c r="AC168" s="101">
        <f>+X168*(1+AC169)</f>
        <v>424.43569465392682</v>
      </c>
      <c r="AD168" s="101">
        <f>+Y168*(1+AD169)</f>
        <v>442.36497332254743</v>
      </c>
      <c r="AE168" s="101">
        <f>+Z168*(1+AE169)</f>
        <v>423.90186393264491</v>
      </c>
      <c r="AF168" s="101">
        <f>+AA168*(1+AF169)</f>
        <v>466.74218343633964</v>
      </c>
      <c r="AG168" s="31"/>
      <c r="AH168" s="101">
        <f>+AC168*(1+AH169)</f>
        <v>433.60657005576826</v>
      </c>
      <c r="AI168" s="101">
        <f>+AD168*(1+AI169)</f>
        <v>451.94142470992165</v>
      </c>
      <c r="AJ168" s="101">
        <f>+AE168*(1+AJ169)</f>
        <v>433.07961335683768</v>
      </c>
      <c r="AK168" s="101">
        <f>+AF168*(1+AK169)</f>
        <v>476.84116120570513</v>
      </c>
      <c r="AL168" s="31"/>
      <c r="AM168" s="101">
        <f>+AH168*(1+AM169)</f>
        <v>442.98800979257391</v>
      </c>
      <c r="AN168" s="101">
        <f>+AI168*(1+AN169)</f>
        <v>461.72278727861334</v>
      </c>
      <c r="AO168" s="101">
        <f>+AJ168*(1+AO169)</f>
        <v>442.45217436225624</v>
      </c>
      <c r="AP168" s="101">
        <f>+AK168*(1+AP169)</f>
        <v>487.15972318416192</v>
      </c>
      <c r="AQ168" s="31"/>
    </row>
    <row r="169" spans="2:43" ht="15.75" outlineLevel="1" x14ac:dyDescent="0.25">
      <c r="B169" s="118" t="s">
        <v>219</v>
      </c>
      <c r="C169" s="152"/>
      <c r="D169" s="143">
        <f>+D168/374-1</f>
        <v>4.2780748663101553E-2</v>
      </c>
      <c r="E169" s="143">
        <f>+E168/394-1</f>
        <v>2.2842639593908531E-2</v>
      </c>
      <c r="F169" s="143">
        <f>+F168/370-1</f>
        <v>3.7837837837837895E-2</v>
      </c>
      <c r="G169" s="143">
        <f>+G168/407-1</f>
        <v>2.2113022113022129E-2</v>
      </c>
      <c r="H169" s="147"/>
      <c r="I169" s="143">
        <f>+I168/D168-1</f>
        <v>1.2820512820512775E-2</v>
      </c>
      <c r="J169" s="143">
        <f>+J168/E168-1</f>
        <v>2.7295285359801413E-2</v>
      </c>
      <c r="K169" s="143">
        <f>+K168/F168-1</f>
        <v>1.3020833333333259E-2</v>
      </c>
      <c r="L169" s="143">
        <f>+L168/G168-1</f>
        <v>1.6826923076923128E-2</v>
      </c>
      <c r="M169" s="147"/>
      <c r="N169" s="143">
        <f>+N168/I168-1</f>
        <v>1.2658227848101333E-2</v>
      </c>
      <c r="O169" s="143">
        <f>+O168/J168-1</f>
        <v>4.8309178743961567E-3</v>
      </c>
      <c r="P169" s="143">
        <f>+P168/K168-1</f>
        <v>2.0565552699228773E-2</v>
      </c>
      <c r="Q169" s="143">
        <f>+Q168/L168-1</f>
        <v>3.3096926713948038E-2</v>
      </c>
      <c r="R169" s="53"/>
      <c r="S169" s="154">
        <f>AVERAGE(Q169,P169,O169,N169)</f>
        <v>1.7787906283918575E-2</v>
      </c>
      <c r="T169" s="154">
        <f>AVERAGE(S169,Q169,P169,O169)</f>
        <v>1.9070325892872886E-2</v>
      </c>
      <c r="U169" s="154">
        <f>AVERAGE(T169,S169,Q169,P169)</f>
        <v>2.2630177897492068E-2</v>
      </c>
      <c r="V169" s="154">
        <f>AVERAGE(U169,T169,S169,Q169)</f>
        <v>2.3146334197057892E-2</v>
      </c>
      <c r="W169" s="31"/>
      <c r="X169" s="154">
        <f>AVERAGE(V169,U169,T169,S169)</f>
        <v>2.0658686067835354E-2</v>
      </c>
      <c r="Y169" s="154">
        <f>AVERAGE(X169,V169,U169,T169)</f>
        <v>2.137638101381455E-2</v>
      </c>
      <c r="Z169" s="154">
        <f>AVERAGE(Y169,X169,V169,U169)</f>
        <v>2.1952894794049965E-2</v>
      </c>
      <c r="AA169" s="154">
        <f>AVERAGE(Z169,Y169,X169,V169)</f>
        <v>2.178357401818944E-2</v>
      </c>
      <c r="AB169" s="31"/>
      <c r="AC169" s="154">
        <f>AVERAGE(AA169,Z169,Y169,X169)</f>
        <v>2.1442883973472326E-2</v>
      </c>
      <c r="AD169" s="154">
        <f>AVERAGE(AC169,AA169,Z169,Y169)</f>
        <v>2.1638933449881569E-2</v>
      </c>
      <c r="AE169" s="154">
        <f>AVERAGE(AD169,AC169,AA169,Z169)</f>
        <v>2.1704571558898326E-2</v>
      </c>
      <c r="AF169" s="154">
        <f>AVERAGE(AE169,AD169,AC169,AA169)</f>
        <v>2.1642490750110415E-2</v>
      </c>
      <c r="AG169" s="31"/>
      <c r="AH169" s="154">
        <f>AVERAGE(AF169,AE169,AD169,AC169)</f>
        <v>2.1607219933090657E-2</v>
      </c>
      <c r="AI169" s="154">
        <f>AVERAGE(AH169,AF169,AE169,AD169)</f>
        <v>2.1648303922995243E-2</v>
      </c>
      <c r="AJ169" s="154">
        <f>AVERAGE(AI169,AH169,AF169,AE169)</f>
        <v>2.165064654127366E-2</v>
      </c>
      <c r="AK169" s="154">
        <f>AVERAGE(AJ169,AI169,AH169,AF169)</f>
        <v>2.1637165286867495E-2</v>
      </c>
      <c r="AL169" s="31"/>
      <c r="AM169" s="154">
        <f>AVERAGE(AK169,AJ169,AI169,AH169)</f>
        <v>2.1635833921056762E-2</v>
      </c>
      <c r="AN169" s="154">
        <f>AVERAGE(AM169,AK169,AJ169,AI169)</f>
        <v>2.1642987418048289E-2</v>
      </c>
      <c r="AO169" s="154">
        <f>AVERAGE(AN169,AM169,AK169,AJ169)</f>
        <v>2.1641658291811552E-2</v>
      </c>
      <c r="AP169" s="154">
        <f>AVERAGE(AO169,AN169,AM169,AK169)</f>
        <v>2.1639411229446022E-2</v>
      </c>
      <c r="AQ169" s="31"/>
    </row>
    <row r="170" spans="2:43" s="30" customFormat="1" ht="15.75" outlineLevel="1" x14ac:dyDescent="0.25">
      <c r="B170" s="333" t="s">
        <v>240</v>
      </c>
      <c r="C170" s="334"/>
      <c r="D170" s="335"/>
      <c r="E170" s="318"/>
      <c r="F170" s="318"/>
      <c r="G170" s="318"/>
      <c r="H170" s="336"/>
      <c r="I170" s="318"/>
      <c r="J170" s="318"/>
      <c r="K170" s="318"/>
      <c r="L170" s="318"/>
      <c r="M170" s="336"/>
      <c r="N170" s="318"/>
      <c r="O170" s="318"/>
      <c r="P170" s="318"/>
      <c r="Q170" s="318"/>
      <c r="R170" s="337"/>
      <c r="S170" s="318"/>
      <c r="T170" s="318"/>
      <c r="U170" s="318"/>
      <c r="V170" s="318"/>
      <c r="W170" s="142"/>
      <c r="X170" s="318"/>
      <c r="Y170" s="318"/>
      <c r="Z170" s="318"/>
      <c r="AA170" s="318"/>
      <c r="AB170" s="142"/>
      <c r="AC170" s="318"/>
      <c r="AD170" s="318"/>
      <c r="AE170" s="318"/>
      <c r="AF170" s="318"/>
      <c r="AG170" s="142"/>
      <c r="AH170" s="318"/>
      <c r="AI170" s="318"/>
      <c r="AJ170" s="318"/>
      <c r="AK170" s="318"/>
      <c r="AL170" s="142"/>
      <c r="AM170" s="318"/>
      <c r="AN170" s="318"/>
      <c r="AO170" s="318"/>
      <c r="AP170" s="318"/>
      <c r="AQ170" s="142"/>
    </row>
    <row r="171" spans="2:43" ht="15.75" outlineLevel="1" x14ac:dyDescent="0.25">
      <c r="B171" s="155" t="s">
        <v>302</v>
      </c>
      <c r="C171" s="148"/>
      <c r="D171" s="145">
        <v>578.5</v>
      </c>
      <c r="E171" s="145">
        <v>596</v>
      </c>
      <c r="F171" s="145">
        <v>531</v>
      </c>
      <c r="G171" s="145">
        <v>637</v>
      </c>
      <c r="H171" s="338"/>
      <c r="I171" s="145">
        <v>564.4</v>
      </c>
      <c r="J171" s="145">
        <v>608</v>
      </c>
      <c r="K171" s="145">
        <v>542.4</v>
      </c>
      <c r="L171" s="145">
        <v>587.4</v>
      </c>
      <c r="M171" s="338"/>
      <c r="N171" s="145">
        <v>587.5</v>
      </c>
      <c r="O171" s="145">
        <v>623</v>
      </c>
      <c r="P171" s="145">
        <v>590</v>
      </c>
      <c r="Q171" s="145">
        <v>620</v>
      </c>
      <c r="R171" s="113"/>
      <c r="S171" s="117">
        <f>AVERAGE(Q171,P171,O171,N171)</f>
        <v>605.125</v>
      </c>
      <c r="T171" s="117">
        <f>AVERAGE(S171,Q171,P171,O171)</f>
        <v>609.53125</v>
      </c>
      <c r="U171" s="117">
        <f>AVERAGE(T171,S171,Q171,P171)</f>
        <v>606.1640625</v>
      </c>
      <c r="V171" s="117">
        <f>AVERAGE(U171,T171,S171,Q171)</f>
        <v>610.205078125</v>
      </c>
      <c r="W171" s="113"/>
      <c r="X171" s="117">
        <f>AVERAGE(V171,U171,T171,S171)</f>
        <v>607.75634765625</v>
      </c>
      <c r="Y171" s="117">
        <f>AVERAGE(X171,V171,U171,T171)</f>
        <v>608.4141845703125</v>
      </c>
      <c r="Z171" s="117">
        <f>AVERAGE(Y171,X171,V171,U171)</f>
        <v>608.13491821289063</v>
      </c>
      <c r="AA171" s="117">
        <f>AVERAGE(Z171,Y171,X171,V171)</f>
        <v>608.62763214111328</v>
      </c>
      <c r="AB171" s="113"/>
      <c r="AC171" s="117">
        <f>AVERAGE(AA171,Z171,Y171,X171)</f>
        <v>608.2332706451416</v>
      </c>
      <c r="AD171" s="117">
        <f>AVERAGE(AC171,AA171,Z171,Y171)</f>
        <v>608.3525013923645</v>
      </c>
      <c r="AE171" s="117">
        <f>AVERAGE(AD171,AC171,AA171,Z171)</f>
        <v>608.3370805978775</v>
      </c>
      <c r="AF171" s="117">
        <f>AVERAGE(AE171,AD171,AC171,AA171)</f>
        <v>608.38762119412422</v>
      </c>
      <c r="AG171" s="113"/>
      <c r="AH171" s="117">
        <f>AVERAGE(AF171,AE171,AD171,AC171)</f>
        <v>608.32761845737696</v>
      </c>
      <c r="AI171" s="117">
        <f>AVERAGE(AH171,AF171,AE171,AD171)</f>
        <v>608.3512054104358</v>
      </c>
      <c r="AJ171" s="117">
        <f>AVERAGE(AI171,AH171,AF171,AE171)</f>
        <v>608.35088141495362</v>
      </c>
      <c r="AK171" s="117">
        <f>AVERAGE(AJ171,AI171,AH171,AF171)</f>
        <v>608.35433161922265</v>
      </c>
      <c r="AL171" s="113"/>
      <c r="AM171" s="117">
        <f>AVERAGE(AK171,AJ171,AI171,AH171)</f>
        <v>608.34600922549726</v>
      </c>
      <c r="AN171" s="117">
        <f>AVERAGE(AM171,AK171,AJ171,AI171)</f>
        <v>608.35060691752733</v>
      </c>
      <c r="AO171" s="117">
        <f>AVERAGE(AN171,AM171,AK171,AJ171)</f>
        <v>608.35045729430021</v>
      </c>
      <c r="AP171" s="117">
        <f>AVERAGE(AO171,AN171,AM171,AK171)</f>
        <v>608.35035126413686</v>
      </c>
      <c r="AQ171" s="113"/>
    </row>
    <row r="172" spans="2:43" ht="15.75" outlineLevel="1" x14ac:dyDescent="0.25">
      <c r="B172" s="155" t="s">
        <v>303</v>
      </c>
      <c r="C172" s="148"/>
      <c r="D172" s="145">
        <v>-43.4</v>
      </c>
      <c r="E172" s="145">
        <v>-83</v>
      </c>
      <c r="F172" s="145">
        <v>-329</v>
      </c>
      <c r="G172" s="145">
        <v>-1613.5</v>
      </c>
      <c r="H172" s="113"/>
      <c r="I172" s="145">
        <v>-80.5</v>
      </c>
      <c r="J172" s="145">
        <v>-88</v>
      </c>
      <c r="K172" s="145">
        <v>-90.5</v>
      </c>
      <c r="L172" s="145">
        <v>-140.5</v>
      </c>
      <c r="M172" s="113"/>
      <c r="N172" s="145">
        <v>-118</v>
      </c>
      <c r="O172" s="145">
        <v>-87</v>
      </c>
      <c r="P172" s="145">
        <v>-119</v>
      </c>
      <c r="Q172" s="145">
        <v>-507</v>
      </c>
      <c r="R172" s="113"/>
      <c r="S172" s="145">
        <f>+S171-S173-S205</f>
        <v>-207.75</v>
      </c>
      <c r="T172" s="145">
        <f>+T171-T173-T205</f>
        <v>-230.1875</v>
      </c>
      <c r="U172" s="145">
        <f>+U171-U173-U205</f>
        <v>-265.984375</v>
      </c>
      <c r="V172" s="145">
        <f>+V171-V173-V205</f>
        <v>-75.499962132352806</v>
      </c>
      <c r="W172" s="113"/>
      <c r="X172" s="145">
        <f>+X171-X173-X205</f>
        <v>-251.6630859375</v>
      </c>
      <c r="Y172" s="145">
        <f>+Y171-Y173-Y205</f>
        <v>-262.641357421875</v>
      </c>
      <c r="Z172" s="145">
        <f>+Z171-Z173-Z205</f>
        <v>-270.75482177734375</v>
      </c>
      <c r="AA172" s="145">
        <f>+AA171-AA173-AA205</f>
        <v>-171.94743347167974</v>
      </c>
      <c r="AB172" s="113"/>
      <c r="AC172" s="145">
        <f>+AC171-AC173-AC205</f>
        <v>-264.25167465209961</v>
      </c>
      <c r="AD172" s="145">
        <f>+AD171-AD173-AD205</f>
        <v>-267.39882183074951</v>
      </c>
      <c r="AE172" s="145">
        <f>+AE171-AE173-AE205</f>
        <v>-268.58818793296814</v>
      </c>
      <c r="AF172" s="145">
        <f>+AF171-AF173-AF205</f>
        <v>-213.04652947187418</v>
      </c>
      <c r="AG172" s="113"/>
      <c r="AH172" s="145">
        <f>+AH171-AH173-AH205</f>
        <v>-267.07130347192287</v>
      </c>
      <c r="AI172" s="145">
        <f>+AI171-AI173-AI205</f>
        <v>-267.77621067687869</v>
      </c>
      <c r="AJ172" s="145">
        <f>+AJ171-AJ173-AJ205</f>
        <v>-267.87055788841099</v>
      </c>
      <c r="AK172" s="145">
        <f>+AK171-AK173-AK205</f>
        <v>-212.69115037727164</v>
      </c>
      <c r="AL172" s="113"/>
      <c r="AM172" s="145">
        <f>+AM171-AM173-AM205</f>
        <v>-267.60230560362106</v>
      </c>
      <c r="AN172" s="145">
        <f>+AN171-AN173-AN205</f>
        <v>-267.73505613654561</v>
      </c>
      <c r="AO172" s="145">
        <f>+AO171-AO173-AO205</f>
        <v>-267.72476750146234</v>
      </c>
      <c r="AP172" s="145">
        <f>+AP171-AP173-AP205</f>
        <v>-212.68831990472512</v>
      </c>
      <c r="AQ172" s="113"/>
    </row>
    <row r="173" spans="2:43" s="30" customFormat="1" ht="15.6" customHeight="1" outlineLevel="1" x14ac:dyDescent="0.25">
      <c r="B173" s="565" t="s">
        <v>371</v>
      </c>
      <c r="C173" s="566"/>
      <c r="D173" s="145">
        <f>-(D172-D171)</f>
        <v>621.9</v>
      </c>
      <c r="E173" s="145">
        <f>-(E172-E171)</f>
        <v>679</v>
      </c>
      <c r="F173" s="145">
        <f>-(F172-F171)</f>
        <v>860</v>
      </c>
      <c r="G173" s="145">
        <f>-(G172-G171)</f>
        <v>2250.5</v>
      </c>
      <c r="H173" s="113"/>
      <c r="I173" s="145">
        <f>-(I172-I171)</f>
        <v>644.9</v>
      </c>
      <c r="J173" s="145">
        <f>-(J172-J171)</f>
        <v>696</v>
      </c>
      <c r="K173" s="145">
        <f>-(K172-K171)</f>
        <v>632.9</v>
      </c>
      <c r="L173" s="145">
        <f>-(L172-L171)</f>
        <v>727.9</v>
      </c>
      <c r="M173" s="113"/>
      <c r="N173" s="145">
        <f>-(N172-N171)</f>
        <v>705.5</v>
      </c>
      <c r="O173" s="145">
        <f>-(O172-O171)</f>
        <v>710</v>
      </c>
      <c r="P173" s="145">
        <f>-(P172-P171)</f>
        <v>709</v>
      </c>
      <c r="Q173" s="424">
        <f>-(Q172-Q171)</f>
        <v>1127</v>
      </c>
      <c r="R173" s="113"/>
      <c r="S173" s="117">
        <f>AVERAGE(Q173,P173,O173,N173)</f>
        <v>812.875</v>
      </c>
      <c r="T173" s="117">
        <f>AVERAGE(S173,Q173,P173,O173)</f>
        <v>839.71875</v>
      </c>
      <c r="U173" s="117">
        <f>AVERAGE(T173,S173,Q173,P173)</f>
        <v>872.1484375</v>
      </c>
      <c r="V173" s="117">
        <f>AVERAGE(U173,T173,S173,Q173)</f>
        <v>912.935546875</v>
      </c>
      <c r="W173" s="113"/>
      <c r="X173" s="117">
        <f>AVERAGE(V173,U173,T173,S173)</f>
        <v>859.41943359375</v>
      </c>
      <c r="Y173" s="117">
        <f>AVERAGE(X173,V173,U173,T173)</f>
        <v>871.0555419921875</v>
      </c>
      <c r="Z173" s="117">
        <f>AVERAGE(Y173,X173,V173,U173)</f>
        <v>878.88973999023438</v>
      </c>
      <c r="AA173" s="117">
        <f>AVERAGE(Z173,Y173,X173,V173)</f>
        <v>880.57506561279297</v>
      </c>
      <c r="AB173" s="113"/>
      <c r="AC173" s="117">
        <f>AVERAGE(AA173,Z173,Y173,X173)</f>
        <v>872.48494529724121</v>
      </c>
      <c r="AD173" s="117">
        <f>AVERAGE(AC173,AA173,Z173,Y173)</f>
        <v>875.75132322311401</v>
      </c>
      <c r="AE173" s="117">
        <f>AVERAGE(AD173,AC173,AA173,Z173)</f>
        <v>876.92526853084564</v>
      </c>
      <c r="AF173" s="117">
        <f>AVERAGE(AE173,AD173,AC173,AA173)</f>
        <v>876.43415066599846</v>
      </c>
      <c r="AG173" s="113"/>
      <c r="AH173" s="117">
        <f>AVERAGE(AF173,AE173,AD173,AC173)</f>
        <v>875.39892192929983</v>
      </c>
      <c r="AI173" s="117">
        <f>AVERAGE(AH173,AF173,AE173,AD173)</f>
        <v>876.12741608731449</v>
      </c>
      <c r="AJ173" s="117">
        <f>AVERAGE(AI173,AH173,AF173,AE173)</f>
        <v>876.2214393033646</v>
      </c>
      <c r="AK173" s="117">
        <f>AVERAGE(AJ173,AI173,AH173,AF173)</f>
        <v>876.04548199649435</v>
      </c>
      <c r="AL173" s="113"/>
      <c r="AM173" s="117">
        <f>AVERAGE(AK173,AJ173,AI173,AH173)</f>
        <v>875.94831482911832</v>
      </c>
      <c r="AN173" s="117">
        <f>AVERAGE(AM173,AK173,AJ173,AI173)</f>
        <v>876.08566305407294</v>
      </c>
      <c r="AO173" s="117">
        <f>AVERAGE(AN173,AM173,AK173,AJ173)</f>
        <v>876.07522479576255</v>
      </c>
      <c r="AP173" s="117">
        <f>AVERAGE(AO173,AN173,AM173,AK173)</f>
        <v>876.03867116886204</v>
      </c>
      <c r="AQ173" s="113"/>
    </row>
    <row r="174" spans="2:43" s="172" customFormat="1" ht="15.75" outlineLevel="1" x14ac:dyDescent="0.25">
      <c r="B174" s="328" t="s">
        <v>237</v>
      </c>
      <c r="C174" s="329"/>
      <c r="D174" s="180"/>
      <c r="E174" s="180"/>
      <c r="F174" s="224"/>
      <c r="G174" s="180"/>
      <c r="H174" s="179"/>
      <c r="I174" s="180"/>
      <c r="J174" s="180"/>
      <c r="K174" s="224"/>
      <c r="L174" s="180"/>
      <c r="M174" s="181"/>
      <c r="N174" s="330"/>
      <c r="O174" s="330"/>
      <c r="P174" s="330"/>
      <c r="Q174" s="180"/>
      <c r="R174" s="331"/>
      <c r="S174" s="180"/>
      <c r="T174" s="180"/>
      <c r="U174" s="224"/>
      <c r="V174" s="180"/>
      <c r="W174" s="179"/>
      <c r="X174" s="180"/>
      <c r="Y174" s="180"/>
      <c r="Z174" s="224"/>
      <c r="AA174" s="180"/>
      <c r="AB174" s="179"/>
      <c r="AC174" s="180"/>
      <c r="AD174" s="180"/>
      <c r="AE174" s="224"/>
      <c r="AF174" s="180"/>
      <c r="AG174" s="179"/>
      <c r="AH174" s="180"/>
      <c r="AI174" s="180"/>
      <c r="AJ174" s="224"/>
      <c r="AK174" s="180"/>
      <c r="AL174" s="179"/>
      <c r="AM174" s="180"/>
      <c r="AN174" s="180"/>
      <c r="AO174" s="224"/>
      <c r="AP174" s="180"/>
      <c r="AQ174" s="179"/>
    </row>
    <row r="175" spans="2:43" s="172" customFormat="1" ht="15.75" outlineLevel="1" x14ac:dyDescent="0.25">
      <c r="B175" s="298" t="s">
        <v>238</v>
      </c>
      <c r="C175" s="152"/>
      <c r="D175" s="116">
        <f>+D19-(D65+D144+D161)</f>
        <v>0</v>
      </c>
      <c r="E175" s="116">
        <f>+E19-(E65+E144+E161)</f>
        <v>1</v>
      </c>
      <c r="F175" s="116">
        <f>+F19-(F65+F144+F161)</f>
        <v>-1</v>
      </c>
      <c r="G175" s="116">
        <f>+G19-(G65+G144+G161)</f>
        <v>3</v>
      </c>
      <c r="H175" s="31"/>
      <c r="I175" s="116">
        <f>+I19-(I65+I144+I161)</f>
        <v>2</v>
      </c>
      <c r="J175" s="116">
        <f>+J19-(J65+J144+J161)</f>
        <v>-2</v>
      </c>
      <c r="K175" s="116">
        <f>+K19-(K65+K144+K161)</f>
        <v>0</v>
      </c>
      <c r="L175" s="116">
        <f>+L19-(L65+L144+L161)</f>
        <v>1</v>
      </c>
      <c r="M175" s="147"/>
      <c r="N175" s="116">
        <f>+N19-(N65+N144+N161)</f>
        <v>1</v>
      </c>
      <c r="O175" s="116">
        <f>+O19-(O65+O144+O161)</f>
        <v>-1</v>
      </c>
      <c r="P175" s="116">
        <f>+P19-(P65+P144+P161)</f>
        <v>1</v>
      </c>
      <c r="Q175" s="116">
        <f>+Q19-(Q65+Q144+Q161)</f>
        <v>0</v>
      </c>
      <c r="R175" s="31"/>
      <c r="S175" s="117">
        <f>AVERAGE(Q175,P175,O175,N175)</f>
        <v>0.25</v>
      </c>
      <c r="T175" s="117">
        <f>AVERAGE(S175,Q175,P175,O175)</f>
        <v>6.25E-2</v>
      </c>
      <c r="U175" s="117">
        <f>AVERAGE(T175,S175,Q175,P175)</f>
        <v>0.328125</v>
      </c>
      <c r="V175" s="117">
        <f>AVERAGE(U175,T175,S175,Q175)</f>
        <v>0.16015625</v>
      </c>
      <c r="W175" s="31"/>
      <c r="X175" s="117">
        <f>AVERAGE(V175,U175,T175,S175)</f>
        <v>0.2001953125</v>
      </c>
      <c r="Y175" s="117">
        <f>AVERAGE(X175,V175,U175,T175)</f>
        <v>0.187744140625</v>
      </c>
      <c r="Z175" s="117">
        <f>AVERAGE(Y175,X175,V175,U175)</f>
        <v>0.21905517578125</v>
      </c>
      <c r="AA175" s="117">
        <f>AVERAGE(Z175,Y175,X175,V175)</f>
        <v>0.1917877197265625</v>
      </c>
      <c r="AB175" s="31"/>
      <c r="AC175" s="117">
        <f>AVERAGE(AA175,Z175,Y175,X175)</f>
        <v>0.19969558715820313</v>
      </c>
      <c r="AD175" s="117">
        <f>AVERAGE(AC175,AA175,Z175,Y175)</f>
        <v>0.19957065582275391</v>
      </c>
      <c r="AE175" s="117">
        <f>AVERAGE(AD175,AC175,AA175,Z175)</f>
        <v>0.20252728462219238</v>
      </c>
      <c r="AF175" s="117">
        <f>AVERAGE(AE175,AD175,AC175,AA175)</f>
        <v>0.19839531183242798</v>
      </c>
      <c r="AG175" s="31"/>
      <c r="AH175" s="117">
        <f>AVERAGE(AF175,AE175,AD175,AC175)</f>
        <v>0.20004720985889435</v>
      </c>
      <c r="AI175" s="117">
        <f>AVERAGE(AH175,AF175,AE175,AD175)</f>
        <v>0.20013511553406715</v>
      </c>
      <c r="AJ175" s="117">
        <f>AVERAGE(AI175,AH175,AF175,AE175)</f>
        <v>0.20027623046189547</v>
      </c>
      <c r="AK175" s="117">
        <f>AVERAGE(AJ175,AI175,AH175,AF175)</f>
        <v>0.19971346692182124</v>
      </c>
      <c r="AL175" s="31"/>
      <c r="AM175" s="117">
        <f>AVERAGE(AK175,AJ175,AI175,AH175)</f>
        <v>0.20004300569416955</v>
      </c>
      <c r="AN175" s="117">
        <f>AVERAGE(AM175,AK175,AJ175,AI175)</f>
        <v>0.20004195465298835</v>
      </c>
      <c r="AO175" s="117">
        <f>AVERAGE(AN175,AM175,AK175,AJ175)</f>
        <v>0.20001866443271865</v>
      </c>
      <c r="AP175" s="117">
        <f>AVERAGE(AO175,AN175,AM175,AK175)</f>
        <v>0.19995427292542445</v>
      </c>
      <c r="AQ175" s="31"/>
    </row>
    <row r="176" spans="2:43" s="172" customFormat="1" ht="15.75" outlineLevel="1" x14ac:dyDescent="0.25">
      <c r="B176" s="298" t="s">
        <v>125</v>
      </c>
      <c r="C176" s="152"/>
      <c r="D176" s="116">
        <f>+D18-(D66+D145+D162)</f>
        <v>113</v>
      </c>
      <c r="E176" s="116">
        <f>+E18-(E66+E145+E162)</f>
        <v>110</v>
      </c>
      <c r="F176" s="116">
        <f>+F18-(F66+F145+F162)</f>
        <v>114</v>
      </c>
      <c r="G176" s="116">
        <f>+G18-(G66+G145+G162)</f>
        <v>117</v>
      </c>
      <c r="H176" s="31"/>
      <c r="I176" s="116">
        <f>+I18-(I66+I145+I162)</f>
        <v>113</v>
      </c>
      <c r="J176" s="116">
        <f>+J18-(J66+J145+J162)</f>
        <v>110</v>
      </c>
      <c r="K176" s="116">
        <f>+K18-(K66+K145+K162)</f>
        <v>111</v>
      </c>
      <c r="L176" s="116">
        <f>+L18-(L66+L145+L162)</f>
        <v>107</v>
      </c>
      <c r="M176" s="147"/>
      <c r="N176" s="116">
        <f>+N18-(N66+N145+N162)</f>
        <v>107</v>
      </c>
      <c r="O176" s="116">
        <f>+O18-(O66+O145+O162)</f>
        <v>108</v>
      </c>
      <c r="P176" s="116">
        <f>+P18-(P66+P145+P162)</f>
        <v>110</v>
      </c>
      <c r="Q176" s="116">
        <f>+Q18-(Q66+Q145+Q162)</f>
        <v>114</v>
      </c>
      <c r="R176" s="31"/>
      <c r="S176" s="116">
        <f>Q176/(Q66+Q145+Q162+Q176)*S18</f>
        <v>0</v>
      </c>
      <c r="T176" s="116" t="e">
        <f>S176/(S66+S145+S162+S176)*T18</f>
        <v>#DIV/0!</v>
      </c>
      <c r="U176" s="116" t="e">
        <f>T176/(T66+T145+T162+T176)*U18</f>
        <v>#DIV/0!</v>
      </c>
      <c r="V176" s="116" t="e">
        <f>U176/(U66+U145+U162+U176)*V18</f>
        <v>#DIV/0!</v>
      </c>
      <c r="W176" s="31"/>
      <c r="X176" s="116" t="e">
        <f>V176/(V66+V145+V162+V176)*X18</f>
        <v>#DIV/0!</v>
      </c>
      <c r="Y176" s="116" t="e">
        <f>X176/(X66+X145+X162+X176)*Y18</f>
        <v>#DIV/0!</v>
      </c>
      <c r="Z176" s="116" t="e">
        <f>Y176/(Y66+Y145+Y162+Y176)*Z18</f>
        <v>#DIV/0!</v>
      </c>
      <c r="AA176" s="116" t="e">
        <f>Z176/(Z66+Z145+Z162+Z176)*AA18</f>
        <v>#DIV/0!</v>
      </c>
      <c r="AB176" s="31"/>
      <c r="AC176" s="116" t="e">
        <f>AA176/(AA66+AA145+AA162+AA176)*AC18</f>
        <v>#DIV/0!</v>
      </c>
      <c r="AD176" s="116" t="e">
        <f>AC176/(AC66+AC145+AC162+AC176)*AD18</f>
        <v>#DIV/0!</v>
      </c>
      <c r="AE176" s="116" t="e">
        <f>AD176/(AD66+AD145+AD162+AD176)*AE18</f>
        <v>#DIV/0!</v>
      </c>
      <c r="AF176" s="116" t="e">
        <f>AE176/(AE66+AE145+AE162+AE176)*AF18</f>
        <v>#DIV/0!</v>
      </c>
      <c r="AG176" s="31"/>
      <c r="AH176" s="116" t="e">
        <f>AF176/(AF66+AF145+AF162+AF176)*AH18</f>
        <v>#DIV/0!</v>
      </c>
      <c r="AI176" s="116" t="e">
        <f>AH176/(AH66+AH145+AH162+AH176)*AI18</f>
        <v>#DIV/0!</v>
      </c>
      <c r="AJ176" s="116" t="e">
        <f>AI176/(AI66+AI145+AI162+AI176)*AJ18</f>
        <v>#DIV/0!</v>
      </c>
      <c r="AK176" s="116" t="e">
        <f>AJ176/(AJ66+AJ145+AJ162+AJ176)*AK18</f>
        <v>#DIV/0!</v>
      </c>
      <c r="AL176" s="31"/>
      <c r="AM176" s="116" t="e">
        <f>AK176/(AK66+AK145+AK162+AK176)*AM18</f>
        <v>#DIV/0!</v>
      </c>
      <c r="AN176" s="116" t="e">
        <f>AM176/(AM66+AM145+AM162+AM176)*AN18</f>
        <v>#DIV/0!</v>
      </c>
      <c r="AO176" s="116" t="e">
        <f>AN176/(AN66+AN145+AN162+AN176)*AO18</f>
        <v>#DIV/0!</v>
      </c>
      <c r="AP176" s="116" t="e">
        <f>AO176/(AO66+AO145+AO162+AO176)*AP18</f>
        <v>#DIV/0!</v>
      </c>
      <c r="AQ176" s="31"/>
    </row>
    <row r="177" spans="2:43" s="30" customFormat="1" ht="15.6" customHeight="1" outlineLevel="1" x14ac:dyDescent="0.25">
      <c r="B177" s="561" t="s">
        <v>239</v>
      </c>
      <c r="C177" s="562"/>
      <c r="D177" s="193">
        <f>+D24-(D65+D66+D67+D144+D145+D146+D161+D162+D163)-(D175+D176)-D173</f>
        <v>277.10000000000002</v>
      </c>
      <c r="E177" s="193">
        <f>+E24-(E65+E66+E67+E144+E145+E146+E161+E162+E163)-(E175+E176)-E173</f>
        <v>292</v>
      </c>
      <c r="F177" s="193">
        <f>+F24-(F65+F66+F67+F144+F145+F146+F161+F162+F163)-(F175+F176)-F173</f>
        <v>271</v>
      </c>
      <c r="G177" s="193">
        <f>+G24-(G65+G66+G67+G144+G145+G146+G161+G162+G163)-(G175+G176)-G173</f>
        <v>295.5</v>
      </c>
      <c r="H177" s="33"/>
      <c r="I177" s="193">
        <f>+I24-(I65+I66+I67+I144+I145+I146+I161+I162+I163)-(I175+I176)-I173</f>
        <v>280.10000000000002</v>
      </c>
      <c r="J177" s="193">
        <f>+J24-(J65+J66+J67+J144+J145+J146+J161+J162+J163)-(J175+J176)-J173</f>
        <v>306</v>
      </c>
      <c r="K177" s="193">
        <f>+K24-(K65+K66+K67+K144+K145+K146+K161+K162+K163)-(K175+K176)-K173</f>
        <v>278.10000000000002</v>
      </c>
      <c r="L177" s="193">
        <f>+L24-(L65+L66+L67+L144+L145+L146+L161+L162+L163)-(L175+L176)-L173</f>
        <v>315.10000000000002</v>
      </c>
      <c r="M177" s="153"/>
      <c r="N177" s="193">
        <f>+N24-(N65+N66+N67+N144+N145+N146+N161+N162+N163)-(N175+N176)-N173</f>
        <v>291.5</v>
      </c>
      <c r="O177" s="193">
        <f>+O24-(O65+O66+O67+O144+O145+O146+O161+O162+O163)-(O175+O176)-O173</f>
        <v>309</v>
      </c>
      <c r="P177" s="193">
        <f>+P24-(P65+P66+P67+P144+P145+P146+P161+P162+P163)-(P175+P176)-P173</f>
        <v>286</v>
      </c>
      <c r="Q177" s="193">
        <f>+Q24-(Q65+Q66+Q67+Q144+Q145+Q146+Q161+Q162+Q163)-(Q175+Q176)-Q173</f>
        <v>322</v>
      </c>
      <c r="R177" s="33"/>
      <c r="S177" s="332">
        <v>304</v>
      </c>
      <c r="T177" s="332">
        <v>318</v>
      </c>
      <c r="U177" s="332">
        <v>298</v>
      </c>
      <c r="V177" s="332">
        <v>337</v>
      </c>
      <c r="W177" s="33"/>
      <c r="X177" s="332">
        <v>302</v>
      </c>
      <c r="Y177" s="332">
        <v>316</v>
      </c>
      <c r="Z177" s="332">
        <v>297</v>
      </c>
      <c r="AA177" s="332">
        <v>336</v>
      </c>
      <c r="AB177" s="33"/>
      <c r="AC177" s="332">
        <f>280+19</f>
        <v>299</v>
      </c>
      <c r="AD177" s="332">
        <v>314</v>
      </c>
      <c r="AE177" s="332">
        <v>294</v>
      </c>
      <c r="AF177" s="332">
        <v>334</v>
      </c>
      <c r="AG177" s="33"/>
      <c r="AH177" s="332">
        <v>296</v>
      </c>
      <c r="AI177" s="332">
        <v>311</v>
      </c>
      <c r="AJ177" s="332">
        <v>290</v>
      </c>
      <c r="AK177" s="332">
        <v>330</v>
      </c>
      <c r="AL177" s="33"/>
      <c r="AM177" s="332">
        <v>291</v>
      </c>
      <c r="AN177" s="332">
        <v>306</v>
      </c>
      <c r="AO177" s="332">
        <v>285</v>
      </c>
      <c r="AP177" s="332">
        <v>326</v>
      </c>
      <c r="AQ177" s="33"/>
    </row>
    <row r="178" spans="2:43" s="30" customFormat="1" ht="15.6" customHeight="1" outlineLevel="1" x14ac:dyDescent="0.25">
      <c r="B178" s="339" t="s">
        <v>241</v>
      </c>
      <c r="C178" s="340"/>
      <c r="D178" s="145"/>
      <c r="E178" s="145"/>
      <c r="F178" s="145"/>
      <c r="G178" s="145"/>
      <c r="H178" s="113"/>
      <c r="I178" s="145"/>
      <c r="J178" s="145"/>
      <c r="K178" s="145"/>
      <c r="L178" s="145"/>
      <c r="M178" s="338"/>
      <c r="N178" s="135"/>
      <c r="O178" s="135"/>
      <c r="P178" s="135"/>
      <c r="Q178" s="145"/>
      <c r="R178" s="113"/>
      <c r="S178" s="145"/>
      <c r="T178" s="145"/>
      <c r="U178" s="145"/>
      <c r="V178" s="145"/>
      <c r="W178" s="113"/>
      <c r="X178" s="145"/>
      <c r="Y178" s="145"/>
      <c r="Z178" s="145"/>
      <c r="AA178" s="145"/>
      <c r="AB178" s="113"/>
      <c r="AC178" s="145"/>
      <c r="AD178" s="145"/>
      <c r="AE178" s="145"/>
      <c r="AF178" s="145"/>
      <c r="AG178" s="113"/>
      <c r="AH178" s="145"/>
      <c r="AI178" s="145"/>
      <c r="AJ178" s="145"/>
      <c r="AK178" s="145"/>
      <c r="AL178" s="113"/>
      <c r="AM178" s="145"/>
      <c r="AN178" s="145"/>
      <c r="AO178" s="145"/>
      <c r="AP178" s="145"/>
      <c r="AQ178" s="113"/>
    </row>
    <row r="179" spans="2:43" s="173" customFormat="1" ht="15.6" customHeight="1" outlineLevel="1" x14ac:dyDescent="0.25">
      <c r="B179" s="341" t="s">
        <v>74</v>
      </c>
      <c r="C179" s="342"/>
      <c r="D179" s="343">
        <f>ROUND((D13-(D53+D56+D57+D142+D159+D168+D171)),0)</f>
        <v>0</v>
      </c>
      <c r="E179" s="343">
        <f>ROUND((E13-(E53+E56+E57+E142+E159+E168+E171)),0)</f>
        <v>0</v>
      </c>
      <c r="F179" s="343">
        <f>ROUND((F13-(F53+F56+F57+F142+F159+F168+F171)),0)</f>
        <v>0</v>
      </c>
      <c r="G179" s="343">
        <f>ROUND((G13-(G53+G56+G57+G142+G159+G168+G171)),0)</f>
        <v>0</v>
      </c>
      <c r="H179" s="113"/>
      <c r="I179" s="343">
        <f>ROUND((I13-(I53+I56+I57+I142+I159+I168+I171)),0)</f>
        <v>0</v>
      </c>
      <c r="J179" s="343">
        <f>ROUND((J13-(J53+J56+J57+J142+J159+J168+J171)),0)</f>
        <v>0</v>
      </c>
      <c r="K179" s="343">
        <f>ROUND((K13-(K53+K56+K57+K142+K159+K168+K171)),0)</f>
        <v>0</v>
      </c>
      <c r="L179" s="343">
        <f>ROUND((L13-(L53+L56+L57+L142+L159+L168+L171)),0)</f>
        <v>0</v>
      </c>
      <c r="M179" s="344"/>
      <c r="N179" s="343">
        <f>ROUND((N13-(N53+N56+N57+N142+N159+N168+N171)),0)</f>
        <v>0</v>
      </c>
      <c r="O179" s="343">
        <f>ROUND((O13-(O53+O56+O57+O142+O159+O168+O171)),0)</f>
        <v>0</v>
      </c>
      <c r="P179" s="343">
        <f>ROUND((P13-(P53+P56+P57+P142+P159+P168+P171)),0)</f>
        <v>0</v>
      </c>
      <c r="Q179" s="343">
        <f>ROUND((Q13-(Q53+Q56+Q57+Q142+Q159+Q168+Q171)),0)</f>
        <v>0</v>
      </c>
      <c r="R179" s="344"/>
      <c r="S179" s="343">
        <f>ROUND((S13-(S53+S56+S57+S142+S159+S168+S171)),0)</f>
        <v>0</v>
      </c>
      <c r="T179" s="343">
        <f>ROUND((T13-(T53+T56+T57+T142+T159+T168+T171)),0)</f>
        <v>0</v>
      </c>
      <c r="U179" s="343">
        <f>ROUND((U13-(U53+U56+U57+U142+U159+U168+U171)),0)</f>
        <v>0</v>
      </c>
      <c r="V179" s="343">
        <f>ROUND((V13-(V53+V56+V57+V142+V159+V168+V171)),0)</f>
        <v>0</v>
      </c>
      <c r="W179" s="344"/>
      <c r="X179" s="343">
        <f>ROUND((X13-(X53+X56+X57+X142+X159+X168+X171)),0)</f>
        <v>0</v>
      </c>
      <c r="Y179" s="343">
        <f>ROUND((Y13-(Y53+Y56+Y57+Y142+Y159+Y168+Y171)),0)</f>
        <v>0</v>
      </c>
      <c r="Z179" s="343">
        <f>ROUND((Z13-(Z53+Z56+Z57+Z142+Z159+Z168+Z171)),0)</f>
        <v>0</v>
      </c>
      <c r="AA179" s="343">
        <f>ROUND((AA13-(AA53+AA56+AA57+AA142+AA159+AA168+AA171)),0)</f>
        <v>0</v>
      </c>
      <c r="AB179" s="344"/>
      <c r="AC179" s="343">
        <f>ROUND((AC13-(AC53+AC56+AC57+AC142+AC159+AC168+AC171)),0)</f>
        <v>0</v>
      </c>
      <c r="AD179" s="343">
        <f>ROUND((AD13-(AD53+AD56+AD57+AD142+AD159+AD168+AD171)),0)</f>
        <v>0</v>
      </c>
      <c r="AE179" s="343">
        <f>ROUND((AE13-(AE53+AE56+AE57+AE142+AE159+AE168+AE171)),0)</f>
        <v>0</v>
      </c>
      <c r="AF179" s="343">
        <f>ROUND((AF13-(AF53+AF56+AF57+AF142+AF159+AF168+AF171)),0)</f>
        <v>0</v>
      </c>
      <c r="AG179" s="344"/>
      <c r="AH179" s="343">
        <f>ROUND((AH13-(AH53+AH56+AH57+AH142+AH159+AH168+AH171)),0)</f>
        <v>0</v>
      </c>
      <c r="AI179" s="343">
        <f>ROUND((AI13-(AI53+AI56+AI57+AI142+AI159+AI168+AI171)),0)</f>
        <v>0</v>
      </c>
      <c r="AJ179" s="343">
        <f>ROUND((AJ13-(AJ53+AJ56+AJ57+AJ142+AJ159+AJ168+AJ171)),0)</f>
        <v>0</v>
      </c>
      <c r="AK179" s="343">
        <f>ROUND((AK13-(AK53+AK56+AK57+AK142+AK159+AK168+AK171)),0)</f>
        <v>0</v>
      </c>
      <c r="AL179" s="344"/>
      <c r="AM179" s="343">
        <f>ROUND((AM13-(AM53+AM56+AM57+AM142+AM159+AM168+AM171)),0)</f>
        <v>0</v>
      </c>
      <c r="AN179" s="343">
        <f>ROUND((AN13-(AN53+AN56+AN57+AN142+AN159+AN168+AN171)),0)</f>
        <v>0</v>
      </c>
      <c r="AO179" s="343">
        <f>ROUND((AO13-(AO53+AO56+AO57+AO142+AO159+AO168+AO171)),0)</f>
        <v>0</v>
      </c>
      <c r="AP179" s="343">
        <f>ROUND((AP13-(AP53+AP56+AP57+AP142+AP159+AP168+AP171)),0)</f>
        <v>0</v>
      </c>
      <c r="AQ179" s="344"/>
    </row>
    <row r="180" spans="2:43" s="173" customFormat="1" ht="15.6" customHeight="1" outlineLevel="1" x14ac:dyDescent="0.25">
      <c r="B180" s="341" t="s">
        <v>242</v>
      </c>
      <c r="C180" s="342"/>
      <c r="D180" s="343">
        <f>D18-(D66+D145+D162+D176)</f>
        <v>0</v>
      </c>
      <c r="E180" s="343">
        <f>E18-(E66+E145+E162+E176)</f>
        <v>0</v>
      </c>
      <c r="F180" s="343">
        <f>F18-(F66+F145+F162+F176)</f>
        <v>0</v>
      </c>
      <c r="G180" s="343">
        <f>G18-(G66+G145+G162+G176)</f>
        <v>0</v>
      </c>
      <c r="H180" s="113"/>
      <c r="I180" s="343">
        <f>I18-(I66+I145+I162+I176)</f>
        <v>0</v>
      </c>
      <c r="J180" s="343">
        <f>J18-(J66+J145+J162+J176)</f>
        <v>0</v>
      </c>
      <c r="K180" s="343">
        <f>K18-(K66+K145+K162+K176)</f>
        <v>0</v>
      </c>
      <c r="L180" s="343">
        <f>L18-(L66+L145+L162+L176)</f>
        <v>0</v>
      </c>
      <c r="M180" s="344"/>
      <c r="N180" s="343">
        <f>N18-(N66+N145+N162+N176)</f>
        <v>0</v>
      </c>
      <c r="O180" s="343">
        <f>O18-(O66+O145+O162+O176)</f>
        <v>0</v>
      </c>
      <c r="P180" s="343">
        <f>P18-(P66+P145+P162+P176)</f>
        <v>0</v>
      </c>
      <c r="Q180" s="343">
        <f>Q18-(Q66+Q145+Q162+Q176)</f>
        <v>0</v>
      </c>
      <c r="R180" s="344"/>
      <c r="S180" s="343">
        <f>S18-(S66+S145+S162+S176)</f>
        <v>0</v>
      </c>
      <c r="T180" s="343" t="e">
        <f>T18-(T66+T145+T162+T176)</f>
        <v>#DIV/0!</v>
      </c>
      <c r="U180" s="343" t="e">
        <f>U18-(U66+U145+U162+U176)</f>
        <v>#DIV/0!</v>
      </c>
      <c r="V180" s="343" t="e">
        <f>V18-(V66+V145+V162+V176)</f>
        <v>#DIV/0!</v>
      </c>
      <c r="W180" s="344"/>
      <c r="X180" s="343" t="e">
        <f>X18-(X66+X145+X162+X176)</f>
        <v>#DIV/0!</v>
      </c>
      <c r="Y180" s="343" t="e">
        <f>Y18-(Y66+Y145+Y162+Y176)</f>
        <v>#DIV/0!</v>
      </c>
      <c r="Z180" s="343" t="e">
        <f>Z18-(Z66+Z145+Z162+Z176)</f>
        <v>#DIV/0!</v>
      </c>
      <c r="AA180" s="343" t="e">
        <f>AA18-(AA66+AA145+AA162+AA176)</f>
        <v>#DIV/0!</v>
      </c>
      <c r="AB180" s="344"/>
      <c r="AC180" s="343" t="e">
        <f>AC18-(AC66+AC145+AC162+AC176)</f>
        <v>#DIV/0!</v>
      </c>
      <c r="AD180" s="343" t="e">
        <f>AD18-(AD66+AD145+AD162+AD176)</f>
        <v>#DIV/0!</v>
      </c>
      <c r="AE180" s="343" t="e">
        <f>AE18-(AE66+AE145+AE162+AE176)</f>
        <v>#DIV/0!</v>
      </c>
      <c r="AF180" s="343" t="e">
        <f>AF18-(AF66+AF145+AF162+AF176)</f>
        <v>#DIV/0!</v>
      </c>
      <c r="AG180" s="344"/>
      <c r="AH180" s="343" t="e">
        <f>AH18-(AH66+AH145+AH162+AH176)</f>
        <v>#DIV/0!</v>
      </c>
      <c r="AI180" s="343" t="e">
        <f>AI18-(AI66+AI145+AI162+AI176)</f>
        <v>#DIV/0!</v>
      </c>
      <c r="AJ180" s="343" t="e">
        <f>AJ18-(AJ66+AJ145+AJ162+AJ176)</f>
        <v>#DIV/0!</v>
      </c>
      <c r="AK180" s="343" t="e">
        <f>AK18-(AK66+AK145+AK162+AK176)</f>
        <v>#DIV/0!</v>
      </c>
      <c r="AL180" s="344"/>
      <c r="AM180" s="343" t="e">
        <f>AM18-(AM66+AM145+AM162+AM176)</f>
        <v>#DIV/0!</v>
      </c>
      <c r="AN180" s="343" t="e">
        <f>AN18-(AN66+AN145+AN162+AN176)</f>
        <v>#DIV/0!</v>
      </c>
      <c r="AO180" s="343" t="e">
        <f>AO18-(AO66+AO145+AO162+AO176)</f>
        <v>#DIV/0!</v>
      </c>
      <c r="AP180" s="343" t="e">
        <f>AP18-(AP66+AP145+AP162+AP176)</f>
        <v>#DIV/0!</v>
      </c>
      <c r="AQ180" s="344"/>
    </row>
    <row r="181" spans="2:43" s="173" customFormat="1" ht="15.6" customHeight="1" outlineLevel="1" x14ac:dyDescent="0.25">
      <c r="B181" s="341" t="s">
        <v>243</v>
      </c>
      <c r="C181" s="342"/>
      <c r="D181" s="343">
        <f>D19-(D65+D144+D161+D175)</f>
        <v>0</v>
      </c>
      <c r="E181" s="343">
        <f>E19-(E65+E144+E161+E175)</f>
        <v>0</v>
      </c>
      <c r="F181" s="343">
        <f>F19-(F65+F144+F161+F175)</f>
        <v>0</v>
      </c>
      <c r="G181" s="343">
        <f>G19-(G65+G144+G161+G175)</f>
        <v>0</v>
      </c>
      <c r="H181" s="113"/>
      <c r="I181" s="343">
        <f>I19-(I65+I144+I161+I175)</f>
        <v>0</v>
      </c>
      <c r="J181" s="343">
        <f>J19-(J65+J144+J161+J175)</f>
        <v>0</v>
      </c>
      <c r="K181" s="343">
        <f>K19-(K65+K144+K161+K175)</f>
        <v>0</v>
      </c>
      <c r="L181" s="343">
        <f>L19-(L65+L144+L161+L175)</f>
        <v>0</v>
      </c>
      <c r="M181" s="344"/>
      <c r="N181" s="343">
        <f>N19-(N65+N144+N161+N175)</f>
        <v>0</v>
      </c>
      <c r="O181" s="343">
        <f>O19-(O65+O144+O161+O175)</f>
        <v>0</v>
      </c>
      <c r="P181" s="343">
        <f>P19-(P65+P144+P161+P175)</f>
        <v>0</v>
      </c>
      <c r="Q181" s="343">
        <f>Q19-(Q65+Q144+Q161+Q175)</f>
        <v>0</v>
      </c>
      <c r="R181" s="344"/>
      <c r="S181" s="343">
        <f>S19-(S65+S144+S161+S175)</f>
        <v>0</v>
      </c>
      <c r="T181" s="343">
        <f>T19-(T65+T144+T161+T175)</f>
        <v>0</v>
      </c>
      <c r="U181" s="343">
        <f>U19-(U65+U144+U161+U175)</f>
        <v>0</v>
      </c>
      <c r="V181" s="343">
        <f>V19-(V65+V144+V161+V175)</f>
        <v>0</v>
      </c>
      <c r="W181" s="344"/>
      <c r="X181" s="343">
        <f>X19-(X65+X144+X161+X175)</f>
        <v>0</v>
      </c>
      <c r="Y181" s="343">
        <f>Y19-(Y65+Y144+Y161+Y175)</f>
        <v>0</v>
      </c>
      <c r="Z181" s="343">
        <f>Z19-(Z65+Z144+Z161+Z175)</f>
        <v>0</v>
      </c>
      <c r="AA181" s="343">
        <f>AA19-(AA65+AA144+AA161+AA175)</f>
        <v>0</v>
      </c>
      <c r="AB181" s="344"/>
      <c r="AC181" s="343">
        <f>AC19-(AC65+AC144+AC161+AC175)</f>
        <v>0</v>
      </c>
      <c r="AD181" s="343">
        <f>AD19-(AD65+AD144+AD161+AD175)</f>
        <v>0</v>
      </c>
      <c r="AE181" s="343">
        <f>AE19-(AE65+AE144+AE161+AE175)</f>
        <v>0</v>
      </c>
      <c r="AF181" s="343">
        <f>AF19-(AF65+AF144+AF161+AF175)</f>
        <v>0</v>
      </c>
      <c r="AG181" s="344"/>
      <c r="AH181" s="343">
        <f>AH19-(AH65+AH144+AH161+AH175)</f>
        <v>0</v>
      </c>
      <c r="AI181" s="343">
        <f>AI19-(AI65+AI144+AI161+AI175)</f>
        <v>0</v>
      </c>
      <c r="AJ181" s="343">
        <f>AJ19-(AJ65+AJ144+AJ161+AJ175)</f>
        <v>0</v>
      </c>
      <c r="AK181" s="343">
        <f>AK19-(AK65+AK144+AK161+AK175)</f>
        <v>0</v>
      </c>
      <c r="AL181" s="344"/>
      <c r="AM181" s="343">
        <f>AM19-(AM65+AM144+AM161+AM175)</f>
        <v>0</v>
      </c>
      <c r="AN181" s="343">
        <f>AN19-(AN65+AN144+AN161+AN175)</f>
        <v>0</v>
      </c>
      <c r="AO181" s="343">
        <f>AO19-(AO65+AO144+AO161+AO175)</f>
        <v>0</v>
      </c>
      <c r="AP181" s="343">
        <f>AP19-(AP65+AP144+AP161+AP175)</f>
        <v>0</v>
      </c>
      <c r="AQ181" s="344"/>
    </row>
    <row r="182" spans="2:43" s="173" customFormat="1" ht="15.6" customHeight="1" outlineLevel="1" x14ac:dyDescent="0.25">
      <c r="B182" s="341" t="s">
        <v>267</v>
      </c>
      <c r="C182" s="342"/>
      <c r="D182" s="343">
        <f>(D15+D16+D17+D20+D21+D23)-(D67+D146+D163)-(D173+D177)+D205</f>
        <v>0</v>
      </c>
      <c r="E182" s="343">
        <f>(E15+E16+E17+E20+E21+E23)-(E67+E146+E163)-(E173+E177)+E205</f>
        <v>0</v>
      </c>
      <c r="F182" s="343">
        <f>(F15+F16+F17+F20+F21+F23)-(F67+F146+F163)-(F173+F177)+F205</f>
        <v>0</v>
      </c>
      <c r="G182" s="343">
        <f>(G15+G16+G17+G20+G21+G23)-(G67+G146+G163)-(G173+G177)+G205</f>
        <v>0</v>
      </c>
      <c r="H182" s="113"/>
      <c r="I182" s="343">
        <f>(I15+I16+I17+I20+I21+I23)-(I67+I146+I163)-(I173+I177)+I205</f>
        <v>0</v>
      </c>
      <c r="J182" s="343">
        <f>(J15+J16+J17+J20+J21+J23)-(J67+J146+J163)-(J173+J177)+J205</f>
        <v>0</v>
      </c>
      <c r="K182" s="343">
        <f>(K15+K16+K17+K20+K21+K23)-(K67+K146+K163)-(K173+K177)+K205</f>
        <v>0</v>
      </c>
      <c r="L182" s="343">
        <f>(L15+L16+L17+L20+L21+L23)-(L67+L146+L163)-(L173+L177)+L205</f>
        <v>0</v>
      </c>
      <c r="M182" s="344"/>
      <c r="N182" s="343">
        <f>(N15+N16+N17+N20+N21+N23)-(N67+N146+N163)-(N173+N177)+N205</f>
        <v>0</v>
      </c>
      <c r="O182" s="343">
        <f>(O15+O16+O17+O20+O21+O23)-(O67+O146+O163)-(O173+O177)+O205</f>
        <v>0</v>
      </c>
      <c r="P182" s="343">
        <f>(P15+P16+P17+P20+P21+P23)-(P67+P146+P163)-(P173+P177)+P205</f>
        <v>0</v>
      </c>
      <c r="Q182" s="343">
        <f>(Q15+Q16+Q17+Q20+Q21+Q23)-(Q67+Q146+Q163)-(Q173+Q177)+Q205</f>
        <v>0</v>
      </c>
      <c r="R182" s="344"/>
      <c r="S182" s="343">
        <f>(S15+S16+S17+S20+S21+S23)-(S67+S146+S163)-(S173+S177)</f>
        <v>0</v>
      </c>
      <c r="T182" s="343">
        <f>(T15+T16+T17+T20+T21+T23)-(T67+T146+T163)-(T173+T177)</f>
        <v>0</v>
      </c>
      <c r="U182" s="343">
        <f>(U15+U16+U17+U20+U21+U23)-(U67+U146+U163)-(U173+U177)</f>
        <v>0</v>
      </c>
      <c r="V182" s="343">
        <f>(V15+V16+V17+V20+V21+V23)-(V67+V146+V163)-(V173+V177)</f>
        <v>0</v>
      </c>
      <c r="W182" s="344"/>
      <c r="X182" s="343">
        <f>(X15+X16+X17+X20+X21+X23)-(X67+X146+X163)-(X173+X177)</f>
        <v>0</v>
      </c>
      <c r="Y182" s="343">
        <f>(Y15+Y16+Y17+Y20+Y21+Y23)-(Y67+Y146+Y163)-(Y173+Y177)</f>
        <v>0</v>
      </c>
      <c r="Z182" s="343">
        <f>(Z15+Z16+Z17+Z20+Z21+Z23)-(Z67+Z146+Z163)-(Z173+Z177)</f>
        <v>0</v>
      </c>
      <c r="AA182" s="343">
        <f>(AA15+AA16+AA17+AA20+AA21+AA23)-(AA67+AA146+AA163)-(AA173+AA177)</f>
        <v>1.8189894035458565E-12</v>
      </c>
      <c r="AB182" s="344"/>
      <c r="AC182" s="343">
        <f>(AC15+AC16+AC17+AC20+AC21+AC23)-(AC67+AC146+AC163)-(AC173+AC177)</f>
        <v>0</v>
      </c>
      <c r="AD182" s="343">
        <f>(AD15+AD16+AD17+AD20+AD21+AD23)-(AD67+AD146+AD163)-(AD173+AD177)</f>
        <v>1.8189894035458565E-12</v>
      </c>
      <c r="AE182" s="343">
        <f>(AE15+AE16+AE17+AE20+AE21+AE23)-(AE67+AE146+AE163)-(AE173+AE177)</f>
        <v>0</v>
      </c>
      <c r="AF182" s="343">
        <f>(AF15+AF16+AF17+AF20+AF21+AF23)-(AF67+AF146+AF163)-(AF173+AF177)</f>
        <v>0</v>
      </c>
      <c r="AG182" s="344"/>
      <c r="AH182" s="343">
        <f>(AH15+AH16+AH17+AH20+AH21+AH23)-(AH67+AH146+AH163)-(AH173+AH177)</f>
        <v>0</v>
      </c>
      <c r="AI182" s="343">
        <f>(AI15+AI16+AI17+AI20+AI21+AI23)-(AI67+AI146+AI163)-(AI173+AI177)</f>
        <v>0</v>
      </c>
      <c r="AJ182" s="343">
        <f>(AJ15+AJ16+AJ17+AJ20+AJ21+AJ23)-(AJ67+AJ146+AJ163)-(AJ173+AJ177)</f>
        <v>0</v>
      </c>
      <c r="AK182" s="343">
        <f>(AK15+AK16+AK17+AK20+AK21+AK23)-(AK67+AK146+AK163)-(AK173+AK177)</f>
        <v>0</v>
      </c>
      <c r="AL182" s="344"/>
      <c r="AM182" s="343">
        <f>(AM15+AM16+AM17+AM20+AM21+AM23)-(AM67+AM146+AM163)-(AM173+AM177)</f>
        <v>0</v>
      </c>
      <c r="AN182" s="343">
        <f>(AN15+AN16+AN17+AN20+AN21+AN23)-(AN67+AN146+AN163)-(AN173+AN177)</f>
        <v>0</v>
      </c>
      <c r="AO182" s="343">
        <f>(AO15+AO16+AO17+AO20+AO21+AO23)-(AO67+AO146+AO163)-(AO173+AO177)</f>
        <v>1.8189894035458565E-12</v>
      </c>
      <c r="AP182" s="343">
        <f>(AP15+AP16+AP17+AP20+AP21+AP23)-(AP67+AP146+AP163)-(AP173+AP177)</f>
        <v>0</v>
      </c>
      <c r="AQ182" s="344"/>
    </row>
    <row r="183" spans="2:43" s="173" customFormat="1" ht="15.6" customHeight="1" outlineLevel="1" x14ac:dyDescent="0.2">
      <c r="B183" s="341" t="s">
        <v>236</v>
      </c>
      <c r="C183" s="342"/>
      <c r="D183" s="343">
        <f>D25-D69-D148-D165-D172</f>
        <v>-0.1345584499989414</v>
      </c>
      <c r="E183" s="343">
        <f>E25-E69-E148-E165-E172</f>
        <v>-0.18854740000051606</v>
      </c>
      <c r="F183" s="343">
        <f>F25-F69-F148-F165-F172</f>
        <v>0.23544271999935518</v>
      </c>
      <c r="G183" s="343">
        <f>G25-G69-G148-G165-G172</f>
        <v>0.43531089730709027</v>
      </c>
      <c r="H183" s="344"/>
      <c r="I183" s="343">
        <f>I25-I69-I148-I165-I172</f>
        <v>3.059883599917157E-2</v>
      </c>
      <c r="J183" s="343">
        <f>J25-J69-J148-J165-J172</f>
        <v>0.44908465079379312</v>
      </c>
      <c r="K183" s="343">
        <f>K25-K69-K148-K165-K172</f>
        <v>1.0799079999969763E-2</v>
      </c>
      <c r="L183" s="343">
        <f>L25-L69-L148-L165-L172</f>
        <v>0.36157627262582537</v>
      </c>
      <c r="M183" s="344"/>
      <c r="N183" s="343">
        <f>N25-N69-N148-N165-N172</f>
        <v>0.17811454997445253</v>
      </c>
      <c r="O183" s="343">
        <f>O25-O69-O148-O165-O172</f>
        <v>0.11987689403008517</v>
      </c>
      <c r="P183" s="343">
        <f>P25-P69-P148-P165-P172</f>
        <v>-0.32737784092023503</v>
      </c>
      <c r="Q183" s="343">
        <f>Q25-Q69-Q148-Q165-Q172</f>
        <v>0.99999999999818101</v>
      </c>
      <c r="R183" s="344"/>
      <c r="S183" s="343">
        <f>S25-S69-S148-S165-S172</f>
        <v>102.86516251356738</v>
      </c>
      <c r="T183" s="343" t="e">
        <f>T25-T69-T148-T165-T172</f>
        <v>#DIV/0!</v>
      </c>
      <c r="U183" s="343" t="e">
        <f>U25-U69-U148-U165-U172</f>
        <v>#DIV/0!</v>
      </c>
      <c r="V183" s="343" t="e">
        <f>V25-V69-V148-V165-V172</f>
        <v>#DIV/0!</v>
      </c>
      <c r="W183" s="344"/>
      <c r="X183" s="343" t="e">
        <f>X25-X69-X148-X165-X172</f>
        <v>#DIV/0!</v>
      </c>
      <c r="Y183" s="343" t="e">
        <f>Y25-Y69-Y148-Y165-Y172</f>
        <v>#DIV/0!</v>
      </c>
      <c r="Z183" s="343" t="e">
        <f>Z25-Z69-Z148-Z165-Z172</f>
        <v>#DIV/0!</v>
      </c>
      <c r="AA183" s="343" t="e">
        <f>AA25-AA69-AA148-AA165-AA172</f>
        <v>#DIV/0!</v>
      </c>
      <c r="AB183" s="344"/>
      <c r="AC183" s="343" t="e">
        <f>AC25-AC69-AC148-AC165-AC172</f>
        <v>#DIV/0!</v>
      </c>
      <c r="AD183" s="343" t="e">
        <f>AD25-AD69-AD148-AD165-AD172</f>
        <v>#DIV/0!</v>
      </c>
      <c r="AE183" s="343" t="e">
        <f>AE25-AE69-AE148-AE165-AE172</f>
        <v>#DIV/0!</v>
      </c>
      <c r="AF183" s="343" t="e">
        <f>AF25-AF69-AF148-AF165-AF172</f>
        <v>#DIV/0!</v>
      </c>
      <c r="AG183" s="344"/>
      <c r="AH183" s="343" t="e">
        <f>AH25-AH69-AH148-AH165-AH172</f>
        <v>#DIV/0!</v>
      </c>
      <c r="AI183" s="343" t="e">
        <f>AI25-AI69-AI148-AI165-AI172</f>
        <v>#DIV/0!</v>
      </c>
      <c r="AJ183" s="343" t="e">
        <f>AJ25-AJ69-AJ148-AJ165-AJ172</f>
        <v>#DIV/0!</v>
      </c>
      <c r="AK183" s="343" t="e">
        <f>AK25-AK69-AK148-AK165-AK172</f>
        <v>#DIV/0!</v>
      </c>
      <c r="AL183" s="344"/>
      <c r="AM183" s="343" t="e">
        <f>AM25-AM69-AM148-AM165-AM172</f>
        <v>#DIV/0!</v>
      </c>
      <c r="AN183" s="343" t="e">
        <f>AN25-AN69-AN148-AN165-AN172</f>
        <v>#DIV/0!</v>
      </c>
      <c r="AO183" s="343" t="e">
        <f>AO25-AO69-AO148-AO165-AO172</f>
        <v>#DIV/0!</v>
      </c>
      <c r="AP183" s="343" t="e">
        <f>AP25-AP69-AP148-AP165-AP172</f>
        <v>#DIV/0!</v>
      </c>
      <c r="AQ183" s="344"/>
    </row>
    <row r="184" spans="2:43" s="30" customFormat="1" ht="15.6" customHeight="1" x14ac:dyDescent="0.25">
      <c r="B184" s="532" t="s">
        <v>244</v>
      </c>
      <c r="C184" s="540"/>
      <c r="D184" s="67" t="s">
        <v>52</v>
      </c>
      <c r="E184" s="67" t="s">
        <v>55</v>
      </c>
      <c r="F184" s="67" t="s">
        <v>56</v>
      </c>
      <c r="G184" s="67" t="s">
        <v>60</v>
      </c>
      <c r="H184" s="403" t="s">
        <v>61</v>
      </c>
      <c r="I184" s="67" t="s">
        <v>62</v>
      </c>
      <c r="J184" s="67" t="s">
        <v>73</v>
      </c>
      <c r="K184" s="67" t="s">
        <v>77</v>
      </c>
      <c r="L184" s="67" t="s">
        <v>81</v>
      </c>
      <c r="M184" s="403" t="s">
        <v>82</v>
      </c>
      <c r="N184" s="67" t="s">
        <v>83</v>
      </c>
      <c r="O184" s="67" t="s">
        <v>84</v>
      </c>
      <c r="P184" s="67" t="s">
        <v>85</v>
      </c>
      <c r="Q184" s="67" t="s">
        <v>86</v>
      </c>
      <c r="R184" s="403" t="s">
        <v>87</v>
      </c>
      <c r="S184" s="69" t="s">
        <v>344</v>
      </c>
      <c r="T184" s="69" t="s">
        <v>345</v>
      </c>
      <c r="U184" s="69" t="s">
        <v>346</v>
      </c>
      <c r="V184" s="69" t="s">
        <v>347</v>
      </c>
      <c r="W184" s="407" t="s">
        <v>348</v>
      </c>
      <c r="X184" s="69" t="s">
        <v>349</v>
      </c>
      <c r="Y184" s="69" t="s">
        <v>350</v>
      </c>
      <c r="Z184" s="69" t="s">
        <v>351</v>
      </c>
      <c r="AA184" s="69" t="s">
        <v>352</v>
      </c>
      <c r="AB184" s="407" t="s">
        <v>353</v>
      </c>
      <c r="AC184" s="69" t="s">
        <v>354</v>
      </c>
      <c r="AD184" s="69" t="s">
        <v>355</v>
      </c>
      <c r="AE184" s="69" t="s">
        <v>356</v>
      </c>
      <c r="AF184" s="69" t="s">
        <v>357</v>
      </c>
      <c r="AG184" s="407" t="s">
        <v>358</v>
      </c>
      <c r="AH184" s="69" t="s">
        <v>359</v>
      </c>
      <c r="AI184" s="69" t="s">
        <v>360</v>
      </c>
      <c r="AJ184" s="69" t="s">
        <v>361</v>
      </c>
      <c r="AK184" s="69" t="s">
        <v>362</v>
      </c>
      <c r="AL184" s="407" t="s">
        <v>363</v>
      </c>
      <c r="AM184" s="69" t="s">
        <v>364</v>
      </c>
      <c r="AN184" s="69" t="s">
        <v>365</v>
      </c>
      <c r="AO184" s="69" t="s">
        <v>366</v>
      </c>
      <c r="AP184" s="69" t="s">
        <v>367</v>
      </c>
      <c r="AQ184" s="407" t="s">
        <v>368</v>
      </c>
    </row>
    <row r="185" spans="2:43" s="30" customFormat="1" ht="15.6" customHeight="1" outlineLevel="1" x14ac:dyDescent="0.25">
      <c r="B185" s="178" t="s">
        <v>253</v>
      </c>
      <c r="C185" s="289"/>
      <c r="D185" s="116"/>
      <c r="E185" s="116"/>
      <c r="F185" s="116"/>
      <c r="G185" s="116"/>
      <c r="H185" s="208"/>
      <c r="I185" s="116"/>
      <c r="J185" s="116"/>
      <c r="K185" s="116"/>
      <c r="L185" s="116"/>
      <c r="M185" s="188"/>
      <c r="N185" s="116"/>
      <c r="O185" s="116"/>
      <c r="P185" s="116"/>
      <c r="Q185" s="116"/>
      <c r="R185" s="31"/>
      <c r="S185" s="116"/>
      <c r="T185" s="116"/>
      <c r="U185" s="116"/>
      <c r="V185" s="116"/>
      <c r="W185" s="31"/>
      <c r="X185" s="116"/>
      <c r="Y185" s="116"/>
      <c r="Z185" s="116"/>
      <c r="AA185" s="116"/>
      <c r="AB185" s="31"/>
      <c r="AC185" s="116"/>
      <c r="AD185" s="116"/>
      <c r="AE185" s="116"/>
      <c r="AF185" s="116"/>
      <c r="AG185" s="31"/>
      <c r="AH185" s="116"/>
      <c r="AI185" s="116"/>
      <c r="AJ185" s="116"/>
      <c r="AK185" s="116"/>
      <c r="AL185" s="31"/>
      <c r="AM185" s="116"/>
      <c r="AN185" s="116"/>
      <c r="AO185" s="116"/>
      <c r="AP185" s="116"/>
      <c r="AQ185" s="31"/>
    </row>
    <row r="186" spans="2:43" s="30" customFormat="1" ht="15.6" customHeight="1" outlineLevel="1" x14ac:dyDescent="0.25">
      <c r="B186" s="287" t="s">
        <v>254</v>
      </c>
      <c r="C186" s="289"/>
      <c r="D186" s="116"/>
      <c r="E186" s="116"/>
      <c r="F186" s="116"/>
      <c r="G186" s="116"/>
      <c r="H186" s="147">
        <v>29602</v>
      </c>
      <c r="I186" s="116"/>
      <c r="J186" s="116"/>
      <c r="K186" s="116"/>
      <c r="L186" s="116"/>
      <c r="M186" s="147">
        <v>29913</v>
      </c>
      <c r="N186" s="116"/>
      <c r="O186" s="116"/>
      <c r="P186" s="116"/>
      <c r="Q186" s="116"/>
      <c r="R186" s="147">
        <v>24820</v>
      </c>
      <c r="S186" s="116"/>
      <c r="T186" s="116"/>
      <c r="U186" s="116"/>
      <c r="V186" s="116"/>
      <c r="W186" s="147">
        <f>+R186+W199-W198</f>
        <v>26320</v>
      </c>
      <c r="X186" s="116"/>
      <c r="Y186" s="116"/>
      <c r="Z186" s="116"/>
      <c r="AA186" s="116"/>
      <c r="AB186" s="147">
        <f>+W186+AB199-AB198</f>
        <v>27620</v>
      </c>
      <c r="AC186" s="116"/>
      <c r="AD186" s="116"/>
      <c r="AE186" s="116"/>
      <c r="AF186" s="116"/>
      <c r="AG186" s="147">
        <f>+AB186+AG199-AG198</f>
        <v>28920</v>
      </c>
      <c r="AH186" s="116"/>
      <c r="AI186" s="116"/>
      <c r="AJ186" s="116"/>
      <c r="AK186" s="116"/>
      <c r="AL186" s="147">
        <f>+AG186+AL199-AL198</f>
        <v>30320</v>
      </c>
      <c r="AM186" s="116"/>
      <c r="AN186" s="116"/>
      <c r="AO186" s="116"/>
      <c r="AP186" s="116"/>
      <c r="AQ186" s="147">
        <f>+AL186+AQ199-AQ198</f>
        <v>31820</v>
      </c>
    </row>
    <row r="187" spans="2:43" s="30" customFormat="1" ht="15.6" customHeight="1" outlineLevel="1" x14ac:dyDescent="0.4">
      <c r="B187" s="287" t="s">
        <v>255</v>
      </c>
      <c r="C187" s="289"/>
      <c r="D187" s="116"/>
      <c r="E187" s="116"/>
      <c r="F187" s="116"/>
      <c r="G187" s="116"/>
      <c r="H187" s="177">
        <v>24271</v>
      </c>
      <c r="I187" s="116"/>
      <c r="J187" s="116"/>
      <c r="K187" s="116"/>
      <c r="L187" s="116"/>
      <c r="M187" s="177">
        <v>26312</v>
      </c>
      <c r="N187" s="116"/>
      <c r="O187" s="116"/>
      <c r="P187" s="116"/>
      <c r="Q187" s="116"/>
      <c r="R187" s="177">
        <v>23566</v>
      </c>
      <c r="S187" s="116"/>
      <c r="T187" s="116"/>
      <c r="U187" s="116"/>
      <c r="V187" s="116"/>
      <c r="W187" s="177">
        <f>R187*(1+W209)+W196-W198</f>
        <v>25315.620000000003</v>
      </c>
      <c r="X187" s="116"/>
      <c r="Y187" s="116"/>
      <c r="Z187" s="116"/>
      <c r="AA187" s="116"/>
      <c r="AB187" s="177">
        <f>W187*(1+AB209)+AB196-AB198</f>
        <v>26461.135300000002</v>
      </c>
      <c r="AC187" s="116"/>
      <c r="AD187" s="116"/>
      <c r="AE187" s="116"/>
      <c r="AF187" s="116"/>
      <c r="AG187" s="177">
        <f>AB187*(1+AG209)+AG196-AG198</f>
        <v>27813.414771000003</v>
      </c>
      <c r="AH187" s="116"/>
      <c r="AI187" s="116"/>
      <c r="AJ187" s="116"/>
      <c r="AK187" s="116"/>
      <c r="AL187" s="177">
        <f>AG187*(1+AL209)+AL196-AL198</f>
        <v>29260.353804970004</v>
      </c>
      <c r="AM187" s="116"/>
      <c r="AN187" s="116"/>
      <c r="AO187" s="116"/>
      <c r="AP187" s="116"/>
      <c r="AQ187" s="177">
        <f>AL187*(1+AQ209)+AQ196-AQ198</f>
        <v>30808.578571317907</v>
      </c>
    </row>
    <row r="188" spans="2:43" s="174" customFormat="1" ht="15.6" customHeight="1" outlineLevel="1" x14ac:dyDescent="0.25">
      <c r="B188" s="290" t="s">
        <v>256</v>
      </c>
      <c r="C188" s="289"/>
      <c r="D188" s="167"/>
      <c r="E188" s="167"/>
      <c r="F188" s="167"/>
      <c r="G188" s="167"/>
      <c r="H188" s="175">
        <f>+H187-H186</f>
        <v>-5331</v>
      </c>
      <c r="I188" s="167"/>
      <c r="J188" s="167"/>
      <c r="K188" s="167"/>
      <c r="L188" s="167"/>
      <c r="M188" s="175">
        <f>+M187-M186</f>
        <v>-3601</v>
      </c>
      <c r="N188" s="167"/>
      <c r="O188" s="167"/>
      <c r="P188" s="167"/>
      <c r="Q188" s="167"/>
      <c r="R188" s="175">
        <f>+R187-R186</f>
        <v>-1254</v>
      </c>
      <c r="S188" s="167"/>
      <c r="T188" s="167"/>
      <c r="U188" s="167"/>
      <c r="V188" s="167"/>
      <c r="W188" s="175">
        <f>+W187-W186</f>
        <v>-1004.3799999999974</v>
      </c>
      <c r="X188" s="167"/>
      <c r="Y188" s="167"/>
      <c r="Z188" s="167"/>
      <c r="AA188" s="167"/>
      <c r="AB188" s="175">
        <f>+AB187-AB186</f>
        <v>-1158.8646999999983</v>
      </c>
      <c r="AC188" s="167"/>
      <c r="AD188" s="167"/>
      <c r="AE188" s="167"/>
      <c r="AF188" s="167"/>
      <c r="AG188" s="175">
        <f>+AG187-AG186</f>
        <v>-1106.5852289999966</v>
      </c>
      <c r="AH188" s="167"/>
      <c r="AI188" s="167"/>
      <c r="AJ188" s="167"/>
      <c r="AK188" s="167"/>
      <c r="AL188" s="175">
        <f>+AL187-AL186</f>
        <v>-1059.6461950299963</v>
      </c>
      <c r="AM188" s="167"/>
      <c r="AN188" s="167"/>
      <c r="AO188" s="167"/>
      <c r="AP188" s="167"/>
      <c r="AQ188" s="175">
        <f>+AQ187-AQ186</f>
        <v>-1011.4214286820934</v>
      </c>
    </row>
    <row r="189" spans="2:43" s="174" customFormat="1" ht="15.6" customHeight="1" outlineLevel="1" x14ac:dyDescent="0.25">
      <c r="B189" s="545" t="s">
        <v>259</v>
      </c>
      <c r="C189" s="546"/>
      <c r="D189" s="167"/>
      <c r="E189" s="167"/>
      <c r="F189" s="167"/>
      <c r="G189" s="167"/>
      <c r="H189" s="182">
        <f>+H187/H186</f>
        <v>0.8199108168367002</v>
      </c>
      <c r="I189" s="116"/>
      <c r="J189" s="116"/>
      <c r="K189" s="116"/>
      <c r="L189" s="116"/>
      <c r="M189" s="182">
        <f>+M187/M186</f>
        <v>0.87961755758365923</v>
      </c>
      <c r="N189" s="167"/>
      <c r="O189" s="167"/>
      <c r="P189" s="167"/>
      <c r="Q189" s="167"/>
      <c r="R189" s="182">
        <f>+R187/R186</f>
        <v>0.94947622884770344</v>
      </c>
      <c r="S189" s="167"/>
      <c r="T189" s="167"/>
      <c r="U189" s="167"/>
      <c r="V189" s="167"/>
      <c r="W189" s="182">
        <f>+W187/W186</f>
        <v>0.96183966565349555</v>
      </c>
      <c r="X189" s="167"/>
      <c r="Y189" s="167"/>
      <c r="Z189" s="167"/>
      <c r="AA189" s="167"/>
      <c r="AB189" s="182">
        <f>+AB187/AB186</f>
        <v>0.95804255249818981</v>
      </c>
      <c r="AC189" s="167"/>
      <c r="AD189" s="167"/>
      <c r="AE189" s="167"/>
      <c r="AF189" s="167"/>
      <c r="AG189" s="182">
        <f>+AG187/AG186</f>
        <v>0.96173633371369305</v>
      </c>
      <c r="AH189" s="167"/>
      <c r="AI189" s="167"/>
      <c r="AJ189" s="167"/>
      <c r="AK189" s="167"/>
      <c r="AL189" s="182">
        <f>+AL187/AL186</f>
        <v>0.96505124686576527</v>
      </c>
      <c r="AM189" s="167"/>
      <c r="AN189" s="167"/>
      <c r="AO189" s="167"/>
      <c r="AP189" s="167"/>
      <c r="AQ189" s="182">
        <f>+AQ187/AQ186</f>
        <v>0.96821428571080792</v>
      </c>
    </row>
    <row r="190" spans="2:43" s="174" customFormat="1" ht="15.6" customHeight="1" outlineLevel="1" x14ac:dyDescent="0.25">
      <c r="B190" s="350" t="s">
        <v>286</v>
      </c>
      <c r="C190" s="411"/>
      <c r="D190" s="351"/>
      <c r="E190" s="351"/>
      <c r="F190" s="351"/>
      <c r="G190" s="351"/>
      <c r="H190" s="352"/>
      <c r="I190" s="353"/>
      <c r="J190" s="353"/>
      <c r="K190" s="353"/>
      <c r="L190" s="353"/>
      <c r="M190" s="352"/>
      <c r="N190" s="351"/>
      <c r="O190" s="351"/>
      <c r="P190" s="351"/>
      <c r="Q190" s="351"/>
      <c r="R190" s="352"/>
      <c r="S190" s="351"/>
      <c r="T190" s="351"/>
      <c r="U190" s="351"/>
      <c r="V190" s="351"/>
      <c r="W190" s="352"/>
      <c r="X190" s="351"/>
      <c r="Y190" s="351"/>
      <c r="Z190" s="351"/>
      <c r="AA190" s="351"/>
      <c r="AB190" s="352"/>
      <c r="AC190" s="351"/>
      <c r="AD190" s="351"/>
      <c r="AE190" s="351"/>
      <c r="AF190" s="351"/>
      <c r="AG190" s="352"/>
      <c r="AH190" s="351"/>
      <c r="AI190" s="351"/>
      <c r="AJ190" s="351"/>
      <c r="AK190" s="351"/>
      <c r="AL190" s="352"/>
      <c r="AM190" s="351"/>
      <c r="AN190" s="351"/>
      <c r="AO190" s="351"/>
      <c r="AP190" s="351"/>
      <c r="AQ190" s="352"/>
    </row>
    <row r="191" spans="2:43" s="30" customFormat="1" ht="15.6" customHeight="1" outlineLevel="1" x14ac:dyDescent="0.4">
      <c r="B191" s="543" t="s">
        <v>291</v>
      </c>
      <c r="C191" s="544"/>
      <c r="D191" s="145"/>
      <c r="E191" s="145"/>
      <c r="F191" s="145"/>
      <c r="G191" s="145"/>
      <c r="H191" s="338">
        <f>-118-3</f>
        <v>-121</v>
      </c>
      <c r="I191" s="354"/>
      <c r="J191" s="354"/>
      <c r="K191" s="354"/>
      <c r="L191" s="354"/>
      <c r="M191" s="338">
        <f>-118-3+3</f>
        <v>-118</v>
      </c>
      <c r="N191" s="145"/>
      <c r="O191" s="145"/>
      <c r="P191" s="145"/>
      <c r="Q191" s="145"/>
      <c r="R191" s="355">
        <f>-118-2-6</f>
        <v>-126</v>
      </c>
      <c r="S191" s="145"/>
      <c r="T191" s="145"/>
      <c r="U191" s="145"/>
      <c r="V191" s="145"/>
      <c r="W191" s="229">
        <f>+R191</f>
        <v>-126</v>
      </c>
      <c r="X191" s="145"/>
      <c r="Y191" s="145"/>
      <c r="Z191" s="145"/>
      <c r="AA191" s="145"/>
      <c r="AB191" s="229">
        <f>+W191</f>
        <v>-126</v>
      </c>
      <c r="AC191" s="145"/>
      <c r="AD191" s="145"/>
      <c r="AE191" s="145"/>
      <c r="AF191" s="145"/>
      <c r="AG191" s="229">
        <f>+AB191</f>
        <v>-126</v>
      </c>
      <c r="AH191" s="145"/>
      <c r="AI191" s="145"/>
      <c r="AJ191" s="145"/>
      <c r="AK191" s="145"/>
      <c r="AL191" s="229">
        <f>+AG191</f>
        <v>-126</v>
      </c>
      <c r="AM191" s="145"/>
      <c r="AN191" s="145"/>
      <c r="AO191" s="145"/>
      <c r="AP191" s="145"/>
      <c r="AQ191" s="229">
        <f>+AL191</f>
        <v>-126</v>
      </c>
    </row>
    <row r="192" spans="2:43" s="174" customFormat="1" ht="15.6" customHeight="1" outlineLevel="1" x14ac:dyDescent="0.4">
      <c r="B192" s="136" t="s">
        <v>287</v>
      </c>
      <c r="C192" s="295"/>
      <c r="D192" s="146"/>
      <c r="E192" s="146"/>
      <c r="F192" s="146"/>
      <c r="G192" s="146"/>
      <c r="H192" s="356">
        <f>+(-74-2)-H191</f>
        <v>45</v>
      </c>
      <c r="I192" s="354"/>
      <c r="J192" s="354"/>
      <c r="K192" s="354"/>
      <c r="L192" s="146"/>
      <c r="M192" s="356">
        <f>+(-74-3+2)-M191</f>
        <v>43</v>
      </c>
      <c r="N192" s="357"/>
      <c r="O192" s="357"/>
      <c r="P192" s="357"/>
      <c r="Q192" s="146"/>
      <c r="R192" s="356">
        <f>+(-83-1-5)-R191</f>
        <v>37</v>
      </c>
      <c r="S192" s="146"/>
      <c r="T192" s="146"/>
      <c r="U192" s="146"/>
      <c r="V192" s="146"/>
      <c r="W192" s="229">
        <f>+R192</f>
        <v>37</v>
      </c>
      <c r="X192" s="146"/>
      <c r="Y192" s="146"/>
      <c r="Z192" s="146"/>
      <c r="AA192" s="146"/>
      <c r="AB192" s="229">
        <f>+W192</f>
        <v>37</v>
      </c>
      <c r="AC192" s="146"/>
      <c r="AD192" s="146"/>
      <c r="AE192" s="146"/>
      <c r="AF192" s="146"/>
      <c r="AG192" s="229">
        <f>+AB192</f>
        <v>37</v>
      </c>
      <c r="AH192" s="146"/>
      <c r="AI192" s="146"/>
      <c r="AJ192" s="146"/>
      <c r="AK192" s="146"/>
      <c r="AL192" s="229">
        <f>+AG192</f>
        <v>37</v>
      </c>
      <c r="AM192" s="146"/>
      <c r="AN192" s="146"/>
      <c r="AO192" s="146"/>
      <c r="AP192" s="146"/>
      <c r="AQ192" s="229">
        <f>+AL192</f>
        <v>37</v>
      </c>
    </row>
    <row r="193" spans="1:43" s="174" customFormat="1" ht="15.6" customHeight="1" outlineLevel="1" x14ac:dyDescent="0.25">
      <c r="B193" s="122" t="s">
        <v>280</v>
      </c>
      <c r="C193" s="295"/>
      <c r="D193" s="145">
        <v>-31</v>
      </c>
      <c r="E193" s="145">
        <v>-29</v>
      </c>
      <c r="F193" s="145">
        <v>-29</v>
      </c>
      <c r="G193" s="145">
        <f>+H193-F193-E193-D193</f>
        <v>13</v>
      </c>
      <c r="H193" s="338">
        <f>SUM(H191:H192)</f>
        <v>-76</v>
      </c>
      <c r="I193" s="145">
        <f>-30+1</f>
        <v>-29</v>
      </c>
      <c r="J193" s="145">
        <f>-30+1</f>
        <v>-29</v>
      </c>
      <c r="K193" s="145">
        <f>-30-2</f>
        <v>-32</v>
      </c>
      <c r="L193" s="145">
        <f>+M193-K193-J193-I193</f>
        <v>15</v>
      </c>
      <c r="M193" s="338">
        <f>SUM(M191:M192)</f>
        <v>-75</v>
      </c>
      <c r="N193" s="145">
        <v>-30</v>
      </c>
      <c r="O193" s="145">
        <f>-29-1</f>
        <v>-30</v>
      </c>
      <c r="P193" s="145">
        <f>-29+1</f>
        <v>-28</v>
      </c>
      <c r="Q193" s="145">
        <f>+R193-P193-O193-N193</f>
        <v>-1</v>
      </c>
      <c r="R193" s="355">
        <f>SUM(R191:R192)</f>
        <v>-89</v>
      </c>
      <c r="S193" s="117">
        <f>+R193/4</f>
        <v>-22.25</v>
      </c>
      <c r="T193" s="117">
        <f>+R193/4</f>
        <v>-22.25</v>
      </c>
      <c r="U193" s="117">
        <f>+R193/4</f>
        <v>-22.25</v>
      </c>
      <c r="V193" s="117">
        <f>+R193/4</f>
        <v>-22.25</v>
      </c>
      <c r="W193" s="338">
        <f>SUM(S193:V193)</f>
        <v>-89</v>
      </c>
      <c r="X193" s="117">
        <f>+W193/4</f>
        <v>-22.25</v>
      </c>
      <c r="Y193" s="117">
        <f>+W193/4</f>
        <v>-22.25</v>
      </c>
      <c r="Z193" s="117">
        <f>+W193/4</f>
        <v>-22.25</v>
      </c>
      <c r="AA193" s="117">
        <f>+W193/4</f>
        <v>-22.25</v>
      </c>
      <c r="AB193" s="338">
        <f>SUM(X193:AA193)</f>
        <v>-89</v>
      </c>
      <c r="AC193" s="117">
        <f>+AB193/4</f>
        <v>-22.25</v>
      </c>
      <c r="AD193" s="117">
        <f>+AB193/4</f>
        <v>-22.25</v>
      </c>
      <c r="AE193" s="117">
        <f>+AB193/4</f>
        <v>-22.25</v>
      </c>
      <c r="AF193" s="117">
        <f>+AB193/4</f>
        <v>-22.25</v>
      </c>
      <c r="AG193" s="338">
        <f>SUM(AC193:AF193)</f>
        <v>-89</v>
      </c>
      <c r="AH193" s="117">
        <f>+AG193/4</f>
        <v>-22.25</v>
      </c>
      <c r="AI193" s="117">
        <f>+AG193/4</f>
        <v>-22.25</v>
      </c>
      <c r="AJ193" s="117">
        <f>+AG193/4</f>
        <v>-22.25</v>
      </c>
      <c r="AK193" s="117">
        <f>+AG193/4</f>
        <v>-22.25</v>
      </c>
      <c r="AL193" s="338">
        <f>SUM(AH193:AK193)</f>
        <v>-89</v>
      </c>
      <c r="AM193" s="117">
        <f>+AL193/4</f>
        <v>-22.25</v>
      </c>
      <c r="AN193" s="117">
        <f>+AL193/4</f>
        <v>-22.25</v>
      </c>
      <c r="AO193" s="117">
        <f>+AL193/4</f>
        <v>-22.25</v>
      </c>
      <c r="AP193" s="117">
        <f>+AL193/4</f>
        <v>-22.25</v>
      </c>
      <c r="AQ193" s="338">
        <f>SUM(AM193:AP193)</f>
        <v>-89</v>
      </c>
    </row>
    <row r="194" spans="1:43" s="174" customFormat="1" ht="15.6" customHeight="1" outlineLevel="1" x14ac:dyDescent="0.4">
      <c r="B194" s="136" t="s">
        <v>289</v>
      </c>
      <c r="C194" s="295"/>
      <c r="D194" s="146"/>
      <c r="E194" s="146"/>
      <c r="F194" s="146"/>
      <c r="G194" s="146"/>
      <c r="H194" s="338">
        <f>+(H188+H191+H192)+H265</f>
        <v>820</v>
      </c>
      <c r="I194" s="354"/>
      <c r="J194" s="354"/>
      <c r="K194" s="354"/>
      <c r="L194" s="354"/>
      <c r="M194" s="338">
        <f>+(M188+M191+M192)+M265</f>
        <v>811</v>
      </c>
      <c r="N194" s="146"/>
      <c r="O194" s="146"/>
      <c r="P194" s="146"/>
      <c r="Q194" s="146"/>
      <c r="R194" s="338">
        <f>+(R188+R191+R192)+R265</f>
        <v>844</v>
      </c>
      <c r="S194" s="146"/>
      <c r="T194" s="146"/>
      <c r="U194" s="146"/>
      <c r="V194" s="146"/>
      <c r="W194" s="229">
        <f>+R194</f>
        <v>844</v>
      </c>
      <c r="X194" s="146"/>
      <c r="Y194" s="146"/>
      <c r="Z194" s="146"/>
      <c r="AA194" s="146"/>
      <c r="AB194" s="229">
        <f>+W194</f>
        <v>844</v>
      </c>
      <c r="AC194" s="146"/>
      <c r="AD194" s="146"/>
      <c r="AE194" s="146"/>
      <c r="AF194" s="146"/>
      <c r="AG194" s="229">
        <f>+AB194</f>
        <v>844</v>
      </c>
      <c r="AH194" s="146"/>
      <c r="AI194" s="146"/>
      <c r="AJ194" s="146"/>
      <c r="AK194" s="146"/>
      <c r="AL194" s="229">
        <f>+AG194</f>
        <v>844</v>
      </c>
      <c r="AM194" s="146"/>
      <c r="AN194" s="146"/>
      <c r="AO194" s="146"/>
      <c r="AP194" s="146"/>
      <c r="AQ194" s="229">
        <f>+AL194</f>
        <v>844</v>
      </c>
    </row>
    <row r="195" spans="1:43" s="174" customFormat="1" ht="15.6" customHeight="1" outlineLevel="1" x14ac:dyDescent="0.4">
      <c r="B195" s="358" t="s">
        <v>288</v>
      </c>
      <c r="C195" s="295"/>
      <c r="D195" s="146"/>
      <c r="E195" s="146"/>
      <c r="F195" s="146"/>
      <c r="G195" s="146"/>
      <c r="H195" s="359">
        <f>+(H188+H191+H192-H194)+H265</f>
        <v>0</v>
      </c>
      <c r="I195" s="354"/>
      <c r="J195" s="354"/>
      <c r="K195" s="354"/>
      <c r="L195" s="354"/>
      <c r="M195" s="359">
        <f>+(M188+M191+M192-M194)+M265</f>
        <v>0</v>
      </c>
      <c r="N195" s="146"/>
      <c r="O195" s="146"/>
      <c r="P195" s="146"/>
      <c r="Q195" s="146"/>
      <c r="R195" s="360">
        <f>+(R188+R191+R192-R194)+R265</f>
        <v>0</v>
      </c>
      <c r="S195" s="146"/>
      <c r="T195" s="146"/>
      <c r="U195" s="146"/>
      <c r="V195" s="146"/>
      <c r="W195" s="360">
        <f>+(W188+W191+W192-W194)+W265</f>
        <v>0</v>
      </c>
      <c r="X195" s="146"/>
      <c r="Y195" s="146"/>
      <c r="Z195" s="146"/>
      <c r="AA195" s="146"/>
      <c r="AB195" s="360">
        <f>+(AB188+AB191+AB192-AB194)+AB265</f>
        <v>0</v>
      </c>
      <c r="AC195" s="146"/>
      <c r="AD195" s="146"/>
      <c r="AE195" s="146"/>
      <c r="AF195" s="146"/>
      <c r="AG195" s="360">
        <f>+(AG188+AG191+AG192-AG194)+AG265</f>
        <v>0</v>
      </c>
      <c r="AH195" s="146"/>
      <c r="AI195" s="146"/>
      <c r="AJ195" s="146"/>
      <c r="AK195" s="146"/>
      <c r="AL195" s="360">
        <f>+(AL188+AL191+AL192-AL194)+AL265</f>
        <v>0</v>
      </c>
      <c r="AM195" s="146"/>
      <c r="AN195" s="146"/>
      <c r="AO195" s="146"/>
      <c r="AP195" s="146"/>
      <c r="AQ195" s="360">
        <f>+(AQ188+AQ191+AQ192-AQ194)+AQ265</f>
        <v>0</v>
      </c>
    </row>
    <row r="196" spans="1:43" s="30" customFormat="1" ht="15.6" customHeight="1" outlineLevel="1" x14ac:dyDescent="0.25">
      <c r="B196" s="230" t="s">
        <v>257</v>
      </c>
      <c r="C196" s="412"/>
      <c r="D196" s="180">
        <v>165</v>
      </c>
      <c r="E196" s="180">
        <f>330-D196</f>
        <v>165</v>
      </c>
      <c r="F196" s="180">
        <f>330-E196-D196</f>
        <v>0</v>
      </c>
      <c r="G196" s="180">
        <f>+H196-F196-E196-D196</f>
        <v>396</v>
      </c>
      <c r="H196" s="181">
        <v>726</v>
      </c>
      <c r="I196" s="180">
        <v>250</v>
      </c>
      <c r="J196" s="180">
        <v>250</v>
      </c>
      <c r="K196" s="180">
        <f>1750-J196-I196</f>
        <v>1250</v>
      </c>
      <c r="L196" s="180">
        <f>+M196-K196-J196-I196</f>
        <v>365</v>
      </c>
      <c r="M196" s="181">
        <v>2115</v>
      </c>
      <c r="N196" s="180">
        <v>250</v>
      </c>
      <c r="O196" s="180">
        <f>750-N196</f>
        <v>500</v>
      </c>
      <c r="P196" s="180">
        <f>2500-O196-N196</f>
        <v>1750</v>
      </c>
      <c r="Q196" s="180">
        <f>+R196-P196-O196-N196</f>
        <v>173</v>
      </c>
      <c r="R196" s="181">
        <f>2547+84+42</f>
        <v>2673</v>
      </c>
      <c r="S196" s="232">
        <v>250</v>
      </c>
      <c r="T196" s="232">
        <v>250</v>
      </c>
      <c r="U196" s="232">
        <v>250</v>
      </c>
      <c r="V196" s="232">
        <v>250</v>
      </c>
      <c r="W196" s="181">
        <f>SUM(S196:V196)</f>
        <v>1000</v>
      </c>
      <c r="X196" s="232">
        <v>100</v>
      </c>
      <c r="Y196" s="232">
        <v>100</v>
      </c>
      <c r="Z196" s="232">
        <v>100</v>
      </c>
      <c r="AA196" s="232">
        <v>100</v>
      </c>
      <c r="AB196" s="181">
        <f>SUM(X196:AA196)</f>
        <v>400</v>
      </c>
      <c r="AC196" s="232">
        <v>100</v>
      </c>
      <c r="AD196" s="232">
        <v>100</v>
      </c>
      <c r="AE196" s="232">
        <v>100</v>
      </c>
      <c r="AF196" s="232">
        <v>100</v>
      </c>
      <c r="AG196" s="181">
        <f>SUM(AC196:AF196)</f>
        <v>400</v>
      </c>
      <c r="AH196" s="232">
        <v>100</v>
      </c>
      <c r="AI196" s="232">
        <v>100</v>
      </c>
      <c r="AJ196" s="232">
        <v>100</v>
      </c>
      <c r="AK196" s="232">
        <v>100</v>
      </c>
      <c r="AL196" s="181">
        <f>SUM(AH196:AK196)</f>
        <v>400</v>
      </c>
      <c r="AM196" s="232">
        <v>100</v>
      </c>
      <c r="AN196" s="232">
        <v>100</v>
      </c>
      <c r="AO196" s="232">
        <v>100</v>
      </c>
      <c r="AP196" s="232">
        <v>100</v>
      </c>
      <c r="AQ196" s="181">
        <f>SUM(AM196:AP196)</f>
        <v>400</v>
      </c>
    </row>
    <row r="197" spans="1:43" s="30" customFormat="1" ht="15.6" customHeight="1" outlineLevel="1" x14ac:dyDescent="0.25">
      <c r="B197" s="100" t="s">
        <v>306</v>
      </c>
      <c r="C197" s="413"/>
      <c r="D197" s="116"/>
      <c r="E197" s="116"/>
      <c r="F197" s="116"/>
      <c r="G197" s="116"/>
      <c r="H197" s="147"/>
      <c r="I197" s="116"/>
      <c r="J197" s="116"/>
      <c r="K197" s="116"/>
      <c r="L197" s="116"/>
      <c r="M197" s="147"/>
      <c r="N197" s="116"/>
      <c r="O197" s="116"/>
      <c r="P197" s="116"/>
      <c r="Q197" s="116">
        <f>-6178-5</f>
        <v>-6183</v>
      </c>
      <c r="R197" s="147">
        <f>+Q197</f>
        <v>-6183</v>
      </c>
      <c r="S197" s="116"/>
      <c r="T197" s="116"/>
      <c r="U197" s="116"/>
      <c r="V197" s="116"/>
      <c r="W197" s="147"/>
      <c r="X197" s="117"/>
      <c r="Y197" s="117"/>
      <c r="Z197" s="117"/>
      <c r="AA197" s="117"/>
      <c r="AB197" s="147"/>
      <c r="AC197" s="117"/>
      <c r="AD197" s="117"/>
      <c r="AE197" s="117"/>
      <c r="AF197" s="117"/>
      <c r="AG197" s="147"/>
      <c r="AH197" s="117"/>
      <c r="AI197" s="117"/>
      <c r="AJ197" s="117"/>
      <c r="AK197" s="117"/>
      <c r="AL197" s="147"/>
      <c r="AM197" s="117"/>
      <c r="AN197" s="117"/>
      <c r="AO197" s="117"/>
      <c r="AP197" s="117"/>
      <c r="AQ197" s="147"/>
    </row>
    <row r="198" spans="1:43" s="30" customFormat="1" ht="15.6" customHeight="1" outlineLevel="1" x14ac:dyDescent="0.25">
      <c r="B198" s="100" t="s">
        <v>258</v>
      </c>
      <c r="C198" s="413"/>
      <c r="D198" s="116"/>
      <c r="E198" s="116"/>
      <c r="F198" s="116"/>
      <c r="G198" s="116"/>
      <c r="H198" s="147">
        <v>912</v>
      </c>
      <c r="I198" s="116"/>
      <c r="J198" s="116"/>
      <c r="K198" s="116"/>
      <c r="L198" s="116"/>
      <c r="M198" s="147">
        <v>2310</v>
      </c>
      <c r="N198" s="116"/>
      <c r="O198" s="116"/>
      <c r="P198" s="116"/>
      <c r="Q198" s="116"/>
      <c r="R198" s="147">
        <f>854+46</f>
        <v>900</v>
      </c>
      <c r="S198" s="116"/>
      <c r="T198" s="116"/>
      <c r="U198" s="116"/>
      <c r="V198" s="116"/>
      <c r="W198" s="195">
        <f>+R198</f>
        <v>900</v>
      </c>
      <c r="X198" s="116"/>
      <c r="Y198" s="116"/>
      <c r="Z198" s="116"/>
      <c r="AA198" s="116"/>
      <c r="AB198" s="195">
        <f>+W198</f>
        <v>900</v>
      </c>
      <c r="AC198" s="116"/>
      <c r="AD198" s="116"/>
      <c r="AE198" s="116"/>
      <c r="AF198" s="116"/>
      <c r="AG198" s="195">
        <f>+AB198</f>
        <v>900</v>
      </c>
      <c r="AH198" s="116"/>
      <c r="AI198" s="116"/>
      <c r="AJ198" s="116"/>
      <c r="AK198" s="116"/>
      <c r="AL198" s="195">
        <f>+AG198</f>
        <v>900</v>
      </c>
      <c r="AM198" s="116"/>
      <c r="AN198" s="116"/>
      <c r="AO198" s="116"/>
      <c r="AP198" s="116"/>
      <c r="AQ198" s="195">
        <f>+AL198</f>
        <v>900</v>
      </c>
    </row>
    <row r="199" spans="1:43" s="30" customFormat="1" ht="15.6" customHeight="1" outlineLevel="1" x14ac:dyDescent="0.25">
      <c r="B199" s="361" t="s">
        <v>290</v>
      </c>
      <c r="C199" s="414"/>
      <c r="D199" s="193">
        <f>166+10+11+295</f>
        <v>482</v>
      </c>
      <c r="E199" s="193">
        <f>165+295+10+10</f>
        <v>480</v>
      </c>
      <c r="F199" s="193">
        <f>165+295+10+10</f>
        <v>480</v>
      </c>
      <c r="G199" s="193">
        <f>+H199-F199-E199-D199</f>
        <v>1614</v>
      </c>
      <c r="H199" s="153">
        <f>622+1155+284+40+25-7+907-24+40+42-64+36</f>
        <v>3056</v>
      </c>
      <c r="I199" s="193">
        <f>160+20+9+282+11+10</f>
        <v>492</v>
      </c>
      <c r="J199" s="193">
        <f>160+20+9+282+11+10</f>
        <v>492</v>
      </c>
      <c r="K199" s="193">
        <f>160+20+9+282+11+10</f>
        <v>492</v>
      </c>
      <c r="L199" s="193">
        <f>+M199-K199-J199-I199</f>
        <v>1166</v>
      </c>
      <c r="M199" s="153">
        <f>638+1128+571+83+43+161+26-30+36+39-14-72+33</f>
        <v>2642</v>
      </c>
      <c r="N199" s="193">
        <f>170+23+9+279+12+10</f>
        <v>503</v>
      </c>
      <c r="O199" s="193">
        <f>170+23+9+278+13+9</f>
        <v>502</v>
      </c>
      <c r="P199" s="193">
        <f>169+23+9+279+12+10</f>
        <v>502</v>
      </c>
      <c r="Q199" s="193">
        <f>+R199-P199-O199-N199</f>
        <v>591</v>
      </c>
      <c r="R199" s="153">
        <f>679+97+36+1115+49+39+21-34-9+63+42</f>
        <v>2098</v>
      </c>
      <c r="S199" s="332">
        <v>600</v>
      </c>
      <c r="T199" s="332">
        <v>600</v>
      </c>
      <c r="U199" s="332">
        <v>600</v>
      </c>
      <c r="V199" s="332">
        <v>600</v>
      </c>
      <c r="W199" s="153">
        <f>SUM(S199:V199)</f>
        <v>2400</v>
      </c>
      <c r="X199" s="332">
        <v>550</v>
      </c>
      <c r="Y199" s="332">
        <v>550</v>
      </c>
      <c r="Z199" s="332">
        <v>550</v>
      </c>
      <c r="AA199" s="332">
        <v>550</v>
      </c>
      <c r="AB199" s="153">
        <f>SUM(X199:AA199)</f>
        <v>2200</v>
      </c>
      <c r="AC199" s="332">
        <v>550</v>
      </c>
      <c r="AD199" s="332">
        <v>550</v>
      </c>
      <c r="AE199" s="332">
        <v>550</v>
      </c>
      <c r="AF199" s="332">
        <v>550</v>
      </c>
      <c r="AG199" s="153">
        <f>SUM(AC199:AF199)</f>
        <v>2200</v>
      </c>
      <c r="AH199" s="332">
        <v>575</v>
      </c>
      <c r="AI199" s="332">
        <v>575</v>
      </c>
      <c r="AJ199" s="332">
        <v>575</v>
      </c>
      <c r="AK199" s="332">
        <v>575</v>
      </c>
      <c r="AL199" s="153">
        <f>SUM(AH199:AK199)</f>
        <v>2300</v>
      </c>
      <c r="AM199" s="332">
        <v>600</v>
      </c>
      <c r="AN199" s="332">
        <v>600</v>
      </c>
      <c r="AO199" s="332">
        <v>600</v>
      </c>
      <c r="AP199" s="332">
        <v>600</v>
      </c>
      <c r="AQ199" s="153">
        <f>SUM(AM199:AP199)</f>
        <v>2400</v>
      </c>
    </row>
    <row r="200" spans="1:43" s="30" customFormat="1" ht="15.6" customHeight="1" outlineLevel="1" x14ac:dyDescent="0.25">
      <c r="A200" s="207"/>
      <c r="B200" s="362" t="s">
        <v>245</v>
      </c>
      <c r="C200" s="295"/>
      <c r="D200" s="145"/>
      <c r="E200" s="145"/>
      <c r="F200" s="145"/>
      <c r="G200" s="145"/>
      <c r="H200" s="338"/>
      <c r="I200" s="145"/>
      <c r="J200" s="145"/>
      <c r="K200" s="145"/>
      <c r="L200" s="145"/>
      <c r="M200" s="338"/>
      <c r="N200" s="145"/>
      <c r="O200" s="145"/>
      <c r="P200" s="145"/>
      <c r="Q200" s="145"/>
      <c r="R200" s="113"/>
      <c r="S200" s="145"/>
      <c r="T200" s="145"/>
      <c r="U200" s="145"/>
      <c r="V200" s="145"/>
      <c r="W200" s="113"/>
      <c r="X200" s="145"/>
      <c r="Y200" s="145"/>
      <c r="Z200" s="145"/>
      <c r="AA200" s="145"/>
      <c r="AB200" s="113"/>
      <c r="AC200" s="145"/>
      <c r="AD200" s="145"/>
      <c r="AE200" s="145"/>
      <c r="AF200" s="145"/>
      <c r="AG200" s="113"/>
      <c r="AH200" s="145"/>
      <c r="AI200" s="145"/>
      <c r="AJ200" s="145"/>
      <c r="AK200" s="145"/>
      <c r="AL200" s="113"/>
      <c r="AM200" s="145"/>
      <c r="AN200" s="145"/>
      <c r="AO200" s="145"/>
      <c r="AP200" s="145"/>
      <c r="AQ200" s="113"/>
    </row>
    <row r="201" spans="1:43" s="30" customFormat="1" ht="15.6" customHeight="1" outlineLevel="1" x14ac:dyDescent="0.25">
      <c r="A201" s="207"/>
      <c r="B201" s="104" t="s">
        <v>246</v>
      </c>
      <c r="C201" s="295"/>
      <c r="D201" s="145"/>
      <c r="E201" s="145"/>
      <c r="F201" s="145"/>
      <c r="G201" s="145">
        <v>1285</v>
      </c>
      <c r="H201" s="338">
        <f>+SUM(D201:G201)</f>
        <v>1285</v>
      </c>
      <c r="I201" s="145"/>
      <c r="J201" s="145"/>
      <c r="K201" s="145"/>
      <c r="L201" s="145">
        <v>-740</v>
      </c>
      <c r="M201" s="338">
        <f>+SUM(I201:L201)</f>
        <v>-740</v>
      </c>
      <c r="N201" s="145"/>
      <c r="O201" s="145"/>
      <c r="P201" s="145"/>
      <c r="Q201" s="145">
        <v>11</v>
      </c>
      <c r="R201" s="338">
        <f>+SUM(N201:Q201)</f>
        <v>11</v>
      </c>
      <c r="S201" s="145"/>
      <c r="T201" s="145"/>
      <c r="U201" s="145"/>
      <c r="V201" s="117">
        <f>-W212*10000*W208</f>
        <v>-55.00000000000005</v>
      </c>
      <c r="W201" s="338">
        <f>SUM(S201:V201)</f>
        <v>-55.00000000000005</v>
      </c>
      <c r="X201" s="145"/>
      <c r="Y201" s="145"/>
      <c r="Z201" s="145"/>
      <c r="AA201" s="117">
        <f>-AB212*10000*AB208</f>
        <v>55.00000000000005</v>
      </c>
      <c r="AB201" s="338">
        <f>SUM(X201:AA201)</f>
        <v>55.00000000000005</v>
      </c>
      <c r="AC201" s="145"/>
      <c r="AD201" s="145"/>
      <c r="AE201" s="145"/>
      <c r="AF201" s="117">
        <f>-AG212*10000*AG208</f>
        <v>-55.00000000000005</v>
      </c>
      <c r="AG201" s="338">
        <f>SUM(AC201:AF201)</f>
        <v>-55.00000000000005</v>
      </c>
      <c r="AH201" s="145"/>
      <c r="AI201" s="145"/>
      <c r="AJ201" s="145"/>
      <c r="AK201" s="117">
        <f>-AL212*10000*AL208</f>
        <v>-55.00000000000005</v>
      </c>
      <c r="AL201" s="338">
        <f>SUM(AH201:AK201)</f>
        <v>-55.00000000000005</v>
      </c>
      <c r="AM201" s="145"/>
      <c r="AN201" s="145"/>
      <c r="AO201" s="145"/>
      <c r="AP201" s="117">
        <f>-AQ212*10000*AQ208</f>
        <v>-55.00000000000005</v>
      </c>
      <c r="AQ201" s="338">
        <f>SUM(AM201:AP201)</f>
        <v>-55.00000000000005</v>
      </c>
    </row>
    <row r="202" spans="1:43" s="30" customFormat="1" ht="15.6" customHeight="1" outlineLevel="1" x14ac:dyDescent="0.25">
      <c r="A202" s="207"/>
      <c r="B202" s="104" t="s">
        <v>305</v>
      </c>
      <c r="C202" s="295"/>
      <c r="D202" s="145"/>
      <c r="E202" s="145"/>
      <c r="F202" s="145"/>
      <c r="G202" s="145"/>
      <c r="H202" s="338"/>
      <c r="I202" s="145"/>
      <c r="J202" s="145"/>
      <c r="K202" s="145"/>
      <c r="L202" s="145">
        <v>0</v>
      </c>
      <c r="M202" s="338">
        <v>0</v>
      </c>
      <c r="N202" s="145"/>
      <c r="O202" s="145"/>
      <c r="P202" s="145"/>
      <c r="Q202" s="145">
        <v>210</v>
      </c>
      <c r="R202" s="338">
        <f>+Q202</f>
        <v>210</v>
      </c>
      <c r="S202" s="145"/>
      <c r="T202" s="145"/>
      <c r="U202" s="145"/>
      <c r="V202" s="117"/>
      <c r="W202" s="338"/>
      <c r="X202" s="145"/>
      <c r="Y202" s="145"/>
      <c r="Z202" s="145"/>
      <c r="AA202" s="117"/>
      <c r="AB202" s="338"/>
      <c r="AC202" s="145"/>
      <c r="AD202" s="145"/>
      <c r="AE202" s="145"/>
      <c r="AF202" s="117"/>
      <c r="AG202" s="338"/>
      <c r="AH202" s="145"/>
      <c r="AI202" s="145"/>
      <c r="AJ202" s="145"/>
      <c r="AK202" s="117"/>
      <c r="AL202" s="338"/>
      <c r="AM202" s="145"/>
      <c r="AN202" s="145"/>
      <c r="AO202" s="145"/>
      <c r="AP202" s="117"/>
      <c r="AQ202" s="338"/>
    </row>
    <row r="203" spans="1:43" s="30" customFormat="1" ht="15.6" customHeight="1" outlineLevel="1" x14ac:dyDescent="0.25">
      <c r="A203" s="207"/>
      <c r="B203" s="363" t="s">
        <v>247</v>
      </c>
      <c r="C203" s="295"/>
      <c r="D203" s="145">
        <v>0</v>
      </c>
      <c r="E203" s="145">
        <v>0</v>
      </c>
      <c r="F203" s="145">
        <v>0</v>
      </c>
      <c r="G203" s="145">
        <v>1129</v>
      </c>
      <c r="H203" s="338">
        <f>+SUM(D203:G203)</f>
        <v>1129</v>
      </c>
      <c r="I203" s="145">
        <v>0</v>
      </c>
      <c r="J203" s="145">
        <v>0</v>
      </c>
      <c r="K203" s="145">
        <v>0</v>
      </c>
      <c r="L203" s="145">
        <v>266</v>
      </c>
      <c r="M203" s="338">
        <f>+SUM(I203:L203)</f>
        <v>266</v>
      </c>
      <c r="N203" s="145">
        <v>0</v>
      </c>
      <c r="O203" s="145">
        <v>0</v>
      </c>
      <c r="P203" s="145">
        <v>0</v>
      </c>
      <c r="Q203" s="145">
        <v>-613</v>
      </c>
      <c r="R203" s="338">
        <f>+SUM(N203:Q203)</f>
        <v>-613</v>
      </c>
      <c r="S203" s="145">
        <v>0</v>
      </c>
      <c r="T203" s="145">
        <v>0</v>
      </c>
      <c r="U203" s="145">
        <v>0</v>
      </c>
      <c r="V203" s="117">
        <f>-W213*10000*W211</f>
        <v>-172.23050661764714</v>
      </c>
      <c r="W203" s="195">
        <f>+SUM(S203:V203)</f>
        <v>-172.23050661764714</v>
      </c>
      <c r="X203" s="145">
        <v>0</v>
      </c>
      <c r="Y203" s="145">
        <v>0</v>
      </c>
      <c r="Z203" s="145">
        <v>0</v>
      </c>
      <c r="AA203" s="117">
        <f>-AB213*10000*AB211</f>
        <v>-155</v>
      </c>
      <c r="AB203" s="195">
        <f>+SUM(X203:AA203)</f>
        <v>-155</v>
      </c>
      <c r="AC203" s="145">
        <v>0</v>
      </c>
      <c r="AD203" s="145">
        <v>0</v>
      </c>
      <c r="AE203" s="145">
        <v>0</v>
      </c>
      <c r="AF203" s="117">
        <f>-AG213*10000*AG211</f>
        <v>0</v>
      </c>
      <c r="AG203" s="195">
        <f>+SUM(AC203:AF203)</f>
        <v>0</v>
      </c>
      <c r="AH203" s="145">
        <v>0</v>
      </c>
      <c r="AI203" s="145">
        <v>0</v>
      </c>
      <c r="AJ203" s="145">
        <v>0</v>
      </c>
      <c r="AK203" s="117">
        <f>-AL213*10000*AL211</f>
        <v>0</v>
      </c>
      <c r="AL203" s="195">
        <f>+SUM(AH203:AK203)</f>
        <v>0</v>
      </c>
      <c r="AM203" s="145">
        <v>0</v>
      </c>
      <c r="AN203" s="145">
        <v>0</v>
      </c>
      <c r="AO203" s="145">
        <v>0</v>
      </c>
      <c r="AP203" s="117">
        <f>-AQ213*10000*AQ211</f>
        <v>0</v>
      </c>
      <c r="AQ203" s="195">
        <f>+SUM(AM203:AP203)</f>
        <v>0</v>
      </c>
    </row>
    <row r="204" spans="1:43" s="30" customFormat="1" ht="15.6" customHeight="1" outlineLevel="1" x14ac:dyDescent="0.4">
      <c r="A204" s="207"/>
      <c r="B204" s="363" t="s">
        <v>248</v>
      </c>
      <c r="C204" s="295"/>
      <c r="D204" s="354">
        <v>0</v>
      </c>
      <c r="E204" s="354">
        <v>0</v>
      </c>
      <c r="F204" s="354">
        <v>0</v>
      </c>
      <c r="G204" s="354">
        <v>-916</v>
      </c>
      <c r="H204" s="356">
        <f>+SUM(D204:G204)</f>
        <v>-916</v>
      </c>
      <c r="I204" s="354">
        <v>0</v>
      </c>
      <c r="J204" s="354">
        <v>0</v>
      </c>
      <c r="K204" s="354">
        <v>0</v>
      </c>
      <c r="L204" s="354">
        <v>450</v>
      </c>
      <c r="M204" s="356">
        <f>+SUM(I204:L204)</f>
        <v>450</v>
      </c>
      <c r="N204" s="354">
        <v>0</v>
      </c>
      <c r="O204" s="354">
        <v>0</v>
      </c>
      <c r="P204" s="354">
        <v>0</v>
      </c>
      <c r="Q204" s="354">
        <v>382</v>
      </c>
      <c r="R204" s="356">
        <f>+SUM(N204:Q204)</f>
        <v>382</v>
      </c>
      <c r="S204" s="354">
        <v>0</v>
      </c>
      <c r="T204" s="354">
        <v>0</v>
      </c>
      <c r="U204" s="354">
        <v>0</v>
      </c>
      <c r="V204" s="196">
        <v>0</v>
      </c>
      <c r="W204" s="197">
        <f>+SUM(S204:V204)</f>
        <v>0</v>
      </c>
      <c r="X204" s="354">
        <v>0</v>
      </c>
      <c r="Y204" s="354">
        <v>0</v>
      </c>
      <c r="Z204" s="354">
        <v>0</v>
      </c>
      <c r="AA204" s="196">
        <f>+V204</f>
        <v>0</v>
      </c>
      <c r="AB204" s="197">
        <f>+SUM(X204:AA204)</f>
        <v>0</v>
      </c>
      <c r="AC204" s="354">
        <v>0</v>
      </c>
      <c r="AD204" s="354">
        <v>0</v>
      </c>
      <c r="AE204" s="354">
        <v>0</v>
      </c>
      <c r="AF204" s="196">
        <v>0</v>
      </c>
      <c r="AG204" s="197">
        <f>+SUM(AC204:AF204)</f>
        <v>0</v>
      </c>
      <c r="AH204" s="354">
        <v>0</v>
      </c>
      <c r="AI204" s="354">
        <v>0</v>
      </c>
      <c r="AJ204" s="354">
        <v>0</v>
      </c>
      <c r="AK204" s="196">
        <v>0</v>
      </c>
      <c r="AL204" s="197">
        <f>+SUM(AH204:AK204)</f>
        <v>0</v>
      </c>
      <c r="AM204" s="354">
        <v>0</v>
      </c>
      <c r="AN204" s="354">
        <v>0</v>
      </c>
      <c r="AO204" s="354">
        <v>0</v>
      </c>
      <c r="AP204" s="196">
        <v>0</v>
      </c>
      <c r="AQ204" s="197">
        <f>+SUM(AM204:AP204)</f>
        <v>0</v>
      </c>
    </row>
    <row r="205" spans="1:43" s="174" customFormat="1" ht="15.6" customHeight="1" outlineLevel="1" x14ac:dyDescent="0.25">
      <c r="A205" s="209"/>
      <c r="B205" s="141" t="s">
        <v>249</v>
      </c>
      <c r="C205" s="295"/>
      <c r="D205" s="364">
        <f t="shared" ref="D205:AQ205" si="24">SUM(D201:D204)</f>
        <v>0</v>
      </c>
      <c r="E205" s="364">
        <f t="shared" si="24"/>
        <v>0</v>
      </c>
      <c r="F205" s="364">
        <f t="shared" si="24"/>
        <v>0</v>
      </c>
      <c r="G205" s="364">
        <f t="shared" si="24"/>
        <v>1498</v>
      </c>
      <c r="H205" s="365">
        <f t="shared" si="24"/>
        <v>1498</v>
      </c>
      <c r="I205" s="364">
        <f t="shared" si="24"/>
        <v>0</v>
      </c>
      <c r="J205" s="364">
        <f t="shared" si="24"/>
        <v>0</v>
      </c>
      <c r="K205" s="364">
        <f t="shared" si="24"/>
        <v>0</v>
      </c>
      <c r="L205" s="364">
        <f t="shared" si="24"/>
        <v>-24</v>
      </c>
      <c r="M205" s="365">
        <f t="shared" si="24"/>
        <v>-24</v>
      </c>
      <c r="N205" s="364">
        <f t="shared" si="24"/>
        <v>0</v>
      </c>
      <c r="O205" s="364">
        <f t="shared" si="24"/>
        <v>0</v>
      </c>
      <c r="P205" s="364">
        <f t="shared" si="24"/>
        <v>0</v>
      </c>
      <c r="Q205" s="364">
        <f t="shared" si="24"/>
        <v>-10</v>
      </c>
      <c r="R205" s="365">
        <f t="shared" si="24"/>
        <v>-10</v>
      </c>
      <c r="S205" s="364">
        <f t="shared" si="24"/>
        <v>0</v>
      </c>
      <c r="T205" s="364">
        <f t="shared" si="24"/>
        <v>0</v>
      </c>
      <c r="U205" s="364">
        <f t="shared" si="24"/>
        <v>0</v>
      </c>
      <c r="V205" s="364">
        <f t="shared" si="24"/>
        <v>-227.23050661764719</v>
      </c>
      <c r="W205" s="365">
        <f t="shared" si="24"/>
        <v>-227.23050661764719</v>
      </c>
      <c r="X205" s="364">
        <f t="shared" si="24"/>
        <v>0</v>
      </c>
      <c r="Y205" s="364">
        <f t="shared" si="24"/>
        <v>0</v>
      </c>
      <c r="Z205" s="364">
        <f t="shared" si="24"/>
        <v>0</v>
      </c>
      <c r="AA205" s="364">
        <f t="shared" si="24"/>
        <v>-99.999999999999943</v>
      </c>
      <c r="AB205" s="365">
        <f t="shared" si="24"/>
        <v>-99.999999999999943</v>
      </c>
      <c r="AC205" s="364">
        <f t="shared" si="24"/>
        <v>0</v>
      </c>
      <c r="AD205" s="364">
        <f t="shared" si="24"/>
        <v>0</v>
      </c>
      <c r="AE205" s="364">
        <f t="shared" si="24"/>
        <v>0</v>
      </c>
      <c r="AF205" s="364">
        <f t="shared" si="24"/>
        <v>-55.00000000000005</v>
      </c>
      <c r="AG205" s="365">
        <f t="shared" si="24"/>
        <v>-55.00000000000005</v>
      </c>
      <c r="AH205" s="364">
        <f t="shared" si="24"/>
        <v>0</v>
      </c>
      <c r="AI205" s="364">
        <f t="shared" si="24"/>
        <v>0</v>
      </c>
      <c r="AJ205" s="364">
        <f t="shared" si="24"/>
        <v>0</v>
      </c>
      <c r="AK205" s="364">
        <f t="shared" si="24"/>
        <v>-55.00000000000005</v>
      </c>
      <c r="AL205" s="365">
        <f t="shared" si="24"/>
        <v>-55.00000000000005</v>
      </c>
      <c r="AM205" s="364">
        <f t="shared" si="24"/>
        <v>0</v>
      </c>
      <c r="AN205" s="364">
        <f t="shared" si="24"/>
        <v>0</v>
      </c>
      <c r="AO205" s="364">
        <f t="shared" si="24"/>
        <v>0</v>
      </c>
      <c r="AP205" s="364">
        <f t="shared" si="24"/>
        <v>-55.00000000000005</v>
      </c>
      <c r="AQ205" s="365">
        <f t="shared" si="24"/>
        <v>-55.00000000000005</v>
      </c>
    </row>
    <row r="206" spans="1:43" s="174" customFormat="1" ht="15.6" customHeight="1" outlineLevel="1" x14ac:dyDescent="0.25">
      <c r="A206" s="209"/>
      <c r="B206" s="346" t="s">
        <v>250</v>
      </c>
      <c r="C206" s="415"/>
      <c r="D206" s="347"/>
      <c r="E206" s="347"/>
      <c r="F206" s="347"/>
      <c r="G206" s="347"/>
      <c r="H206" s="348"/>
      <c r="I206" s="347"/>
      <c r="J206" s="347"/>
      <c r="K206" s="347"/>
      <c r="L206" s="347"/>
      <c r="M206" s="348"/>
      <c r="N206" s="347"/>
      <c r="O206" s="347"/>
      <c r="P206" s="347"/>
      <c r="Q206" s="345"/>
      <c r="R206" s="349"/>
      <c r="S206" s="345"/>
      <c r="T206" s="345"/>
      <c r="U206" s="345"/>
      <c r="V206" s="345"/>
      <c r="W206" s="349"/>
      <c r="X206" s="345"/>
      <c r="Y206" s="345"/>
      <c r="Z206" s="345"/>
      <c r="AA206" s="345"/>
      <c r="AB206" s="349"/>
      <c r="AC206" s="345"/>
      <c r="AD206" s="345"/>
      <c r="AE206" s="345"/>
      <c r="AF206" s="345"/>
      <c r="AG206" s="349"/>
      <c r="AH206" s="345"/>
      <c r="AI206" s="345"/>
      <c r="AJ206" s="345"/>
      <c r="AK206" s="345"/>
      <c r="AL206" s="349"/>
      <c r="AM206" s="345"/>
      <c r="AN206" s="345"/>
      <c r="AO206" s="345"/>
      <c r="AP206" s="345"/>
      <c r="AQ206" s="349"/>
    </row>
    <row r="207" spans="1:43" s="174" customFormat="1" ht="15.6" customHeight="1" outlineLevel="1" x14ac:dyDescent="0.25">
      <c r="A207" s="209"/>
      <c r="B207" s="287" t="s">
        <v>251</v>
      </c>
      <c r="C207" s="289"/>
      <c r="D207" s="183"/>
      <c r="E207" s="183"/>
      <c r="F207" s="183"/>
      <c r="G207" s="185"/>
      <c r="H207" s="184">
        <v>6.5000000000000002E-2</v>
      </c>
      <c r="I207" s="185"/>
      <c r="J207" s="185"/>
      <c r="K207" s="185"/>
      <c r="L207" s="185"/>
      <c r="M207" s="184">
        <v>6.5000000000000002E-2</v>
      </c>
      <c r="N207" s="86"/>
      <c r="O207" s="86"/>
      <c r="P207" s="86"/>
      <c r="Q207" s="167"/>
      <c r="R207" s="238">
        <v>6.5000000000000002E-2</v>
      </c>
      <c r="S207" s="167"/>
      <c r="T207" s="167"/>
      <c r="U207" s="167"/>
      <c r="V207" s="167"/>
      <c r="W207" s="238">
        <v>6.7500000000000004E-2</v>
      </c>
      <c r="X207" s="167"/>
      <c r="Y207" s="167"/>
      <c r="Z207" s="167"/>
      <c r="AA207" s="167"/>
      <c r="AB207" s="198">
        <f>W207</f>
        <v>6.7500000000000004E-2</v>
      </c>
      <c r="AC207" s="167"/>
      <c r="AD207" s="167"/>
      <c r="AE207" s="167"/>
      <c r="AF207" s="167"/>
      <c r="AG207" s="198">
        <f>AB207</f>
        <v>6.7500000000000004E-2</v>
      </c>
      <c r="AH207" s="167"/>
      <c r="AI207" s="167"/>
      <c r="AJ207" s="167"/>
      <c r="AK207" s="167"/>
      <c r="AL207" s="198">
        <f>AG207</f>
        <v>6.7500000000000004E-2</v>
      </c>
      <c r="AM207" s="167"/>
      <c r="AN207" s="167"/>
      <c r="AO207" s="167"/>
      <c r="AP207" s="167"/>
      <c r="AQ207" s="198">
        <f>AL207</f>
        <v>6.7500000000000004E-2</v>
      </c>
    </row>
    <row r="208" spans="1:43" s="174" customFormat="1" ht="15.6" customHeight="1" outlineLevel="1" x14ac:dyDescent="0.25">
      <c r="A208" s="207"/>
      <c r="B208" s="100" t="s">
        <v>260</v>
      </c>
      <c r="C208" s="289"/>
      <c r="D208" s="202"/>
      <c r="E208" s="202"/>
      <c r="F208" s="202"/>
      <c r="G208" s="203"/>
      <c r="H208" s="191">
        <v>2.2999999999999998</v>
      </c>
      <c r="I208" s="203"/>
      <c r="J208" s="203"/>
      <c r="K208" s="203"/>
      <c r="L208" s="203"/>
      <c r="M208" s="191">
        <v>2.5</v>
      </c>
      <c r="N208" s="201"/>
      <c r="O208" s="201"/>
      <c r="P208" s="201"/>
      <c r="Q208" s="204"/>
      <c r="R208" s="239">
        <v>2.2000000000000002</v>
      </c>
      <c r="S208" s="167"/>
      <c r="T208" s="167"/>
      <c r="U208" s="167"/>
      <c r="V208" s="167"/>
      <c r="W208" s="239">
        <v>2.2000000000000002</v>
      </c>
      <c r="X208" s="167"/>
      <c r="Y208" s="167"/>
      <c r="Z208" s="167"/>
      <c r="AA208" s="167"/>
      <c r="AB208" s="205">
        <f>W208</f>
        <v>2.2000000000000002</v>
      </c>
      <c r="AC208" s="167"/>
      <c r="AD208" s="167"/>
      <c r="AE208" s="167"/>
      <c r="AF208" s="167"/>
      <c r="AG208" s="205">
        <f>AB208</f>
        <v>2.2000000000000002</v>
      </c>
      <c r="AH208" s="167"/>
      <c r="AI208" s="167"/>
      <c r="AJ208" s="167"/>
      <c r="AK208" s="167"/>
      <c r="AL208" s="205">
        <f>AG208</f>
        <v>2.2000000000000002</v>
      </c>
      <c r="AM208" s="167"/>
      <c r="AN208" s="167"/>
      <c r="AO208" s="167"/>
      <c r="AP208" s="167"/>
      <c r="AQ208" s="205">
        <f>AL208</f>
        <v>2.2000000000000002</v>
      </c>
    </row>
    <row r="209" spans="1:43" s="174" customFormat="1" ht="15.6" customHeight="1" outlineLevel="1" x14ac:dyDescent="0.25">
      <c r="A209" s="209"/>
      <c r="B209" s="287" t="s">
        <v>252</v>
      </c>
      <c r="C209" s="289"/>
      <c r="D209" s="86"/>
      <c r="E209" s="86"/>
      <c r="F209" s="86"/>
      <c r="G209" s="86"/>
      <c r="H209" s="184">
        <v>1.2E-2</v>
      </c>
      <c r="I209" s="183"/>
      <c r="J209" s="77"/>
      <c r="K209" s="77"/>
      <c r="L209" s="77"/>
      <c r="M209" s="184">
        <v>9.6000000000000002E-2</v>
      </c>
      <c r="N209" s="183"/>
      <c r="O209" s="86"/>
      <c r="P209" s="86"/>
      <c r="Q209" s="167"/>
      <c r="R209" s="238">
        <v>6.3E-2</v>
      </c>
      <c r="S209" s="167"/>
      <c r="T209" s="167"/>
      <c r="U209" s="167"/>
      <c r="V209" s="167"/>
      <c r="W209" s="198">
        <v>7.0000000000000007E-2</v>
      </c>
      <c r="X209" s="167"/>
      <c r="Y209" s="167"/>
      <c r="Z209" s="167"/>
      <c r="AA209" s="167"/>
      <c r="AB209" s="198">
        <v>6.5000000000000002E-2</v>
      </c>
      <c r="AC209" s="167"/>
      <c r="AD209" s="167"/>
      <c r="AE209" s="167"/>
      <c r="AF209" s="167"/>
      <c r="AG209" s="198">
        <v>7.0000000000000007E-2</v>
      </c>
      <c r="AH209" s="167"/>
      <c r="AI209" s="167"/>
      <c r="AJ209" s="167"/>
      <c r="AK209" s="167"/>
      <c r="AL209" s="198">
        <v>7.0000000000000007E-2</v>
      </c>
      <c r="AM209" s="167"/>
      <c r="AN209" s="167"/>
      <c r="AO209" s="167"/>
      <c r="AP209" s="167"/>
      <c r="AQ209" s="198">
        <v>7.0000000000000007E-2</v>
      </c>
    </row>
    <row r="210" spans="1:43" s="30" customFormat="1" ht="15.6" customHeight="1" outlineLevel="1" x14ac:dyDescent="0.25">
      <c r="A210" s="207"/>
      <c r="B210" s="538" t="s">
        <v>261</v>
      </c>
      <c r="C210" s="539"/>
      <c r="D210" s="190"/>
      <c r="E210" s="190"/>
      <c r="F210" s="190"/>
      <c r="G210" s="190"/>
      <c r="H210" s="189">
        <v>4.0399999999999998E-2</v>
      </c>
      <c r="I210" s="190"/>
      <c r="J210" s="190"/>
      <c r="K210" s="190"/>
      <c r="L210" s="190"/>
      <c r="M210" s="189">
        <v>3.9800000000000002E-2</v>
      </c>
      <c r="N210" s="116"/>
      <c r="O210" s="116"/>
      <c r="P210" s="116"/>
      <c r="Q210" s="116"/>
      <c r="R210" s="189">
        <v>4.1099999999999998E-2</v>
      </c>
      <c r="S210" s="116"/>
      <c r="T210" s="116"/>
      <c r="U210" s="116"/>
      <c r="V210" s="116"/>
      <c r="W210" s="199">
        <f>R210+W213</f>
        <v>4.1655582279411761E-2</v>
      </c>
      <c r="X210" s="116"/>
      <c r="Y210" s="116"/>
      <c r="Z210" s="116"/>
      <c r="AA210" s="116"/>
      <c r="AB210" s="199">
        <f>W210+AB213</f>
        <v>4.2155582279411762E-2</v>
      </c>
      <c r="AC210" s="116"/>
      <c r="AD210" s="116"/>
      <c r="AE210" s="116"/>
      <c r="AF210" s="116"/>
      <c r="AG210" s="199">
        <f>AB210+AG213</f>
        <v>4.2155582279411762E-2</v>
      </c>
      <c r="AH210" s="116"/>
      <c r="AI210" s="116"/>
      <c r="AJ210" s="116"/>
      <c r="AK210" s="116"/>
      <c r="AL210" s="199">
        <f>AG210+AL213</f>
        <v>4.2155582279411762E-2</v>
      </c>
      <c r="AM210" s="116"/>
      <c r="AN210" s="116"/>
      <c r="AO210" s="116"/>
      <c r="AP210" s="116"/>
      <c r="AQ210" s="199">
        <f>AL210+AQ213</f>
        <v>4.2155582279411762E-2</v>
      </c>
    </row>
    <row r="211" spans="1:43" s="30" customFormat="1" ht="15.6" customHeight="1" outlineLevel="1" x14ac:dyDescent="0.25">
      <c r="A211" s="207"/>
      <c r="B211" s="100" t="s">
        <v>266</v>
      </c>
      <c r="C211" s="289"/>
      <c r="D211" s="190"/>
      <c r="E211" s="190"/>
      <c r="F211" s="190"/>
      <c r="G211" s="190"/>
      <c r="H211" s="192">
        <v>38</v>
      </c>
      <c r="I211" s="190"/>
      <c r="J211" s="190"/>
      <c r="K211" s="190"/>
      <c r="L211" s="190"/>
      <c r="M211" s="192">
        <v>34</v>
      </c>
      <c r="N211" s="116"/>
      <c r="O211" s="116"/>
      <c r="P211" s="116"/>
      <c r="Q211" s="116"/>
      <c r="R211" s="210">
        <v>31</v>
      </c>
      <c r="S211" s="116"/>
      <c r="T211" s="116"/>
      <c r="U211" s="116"/>
      <c r="V211" s="116"/>
      <c r="W211" s="210">
        <v>31</v>
      </c>
      <c r="X211" s="116"/>
      <c r="Y211" s="116"/>
      <c r="Z211" s="116"/>
      <c r="AA211" s="116"/>
      <c r="AB211" s="200">
        <f>W211</f>
        <v>31</v>
      </c>
      <c r="AC211" s="116"/>
      <c r="AD211" s="116"/>
      <c r="AE211" s="116"/>
      <c r="AF211" s="116"/>
      <c r="AG211" s="200">
        <f>AB211</f>
        <v>31</v>
      </c>
      <c r="AH211" s="116"/>
      <c r="AI211" s="116"/>
      <c r="AJ211" s="116"/>
      <c r="AK211" s="116"/>
      <c r="AL211" s="200">
        <f>AG211</f>
        <v>31</v>
      </c>
      <c r="AM211" s="116"/>
      <c r="AN211" s="116"/>
      <c r="AO211" s="116"/>
      <c r="AP211" s="116"/>
      <c r="AQ211" s="200">
        <f>AL211</f>
        <v>31</v>
      </c>
    </row>
    <row r="212" spans="1:43" s="30" customFormat="1" ht="15.6" customHeight="1" outlineLevel="1" x14ac:dyDescent="0.25">
      <c r="B212" s="287" t="s">
        <v>264</v>
      </c>
      <c r="C212" s="289"/>
      <c r="D212" s="190"/>
      <c r="E212" s="190"/>
      <c r="F212" s="190"/>
      <c r="G212" s="190"/>
      <c r="H212" s="192"/>
      <c r="I212" s="169"/>
      <c r="J212" s="190"/>
      <c r="K212" s="190"/>
      <c r="L212" s="169"/>
      <c r="M212" s="192"/>
      <c r="N212" s="116"/>
      <c r="O212" s="116"/>
      <c r="P212" s="116"/>
      <c r="Q212" s="116"/>
      <c r="R212" s="210"/>
      <c r="S212" s="116"/>
      <c r="T212" s="116"/>
      <c r="U212" s="116"/>
      <c r="V212" s="116"/>
      <c r="W212" s="189">
        <f>+W209-W207</f>
        <v>2.5000000000000022E-3</v>
      </c>
      <c r="X212" s="116"/>
      <c r="Y212" s="116"/>
      <c r="Z212" s="116"/>
      <c r="AA212" s="116"/>
      <c r="AB212" s="189">
        <f>+AB209-AB207</f>
        <v>-2.5000000000000022E-3</v>
      </c>
      <c r="AC212" s="116"/>
      <c r="AD212" s="116"/>
      <c r="AE212" s="116"/>
      <c r="AF212" s="116"/>
      <c r="AG212" s="189">
        <f>+AG209-AG207</f>
        <v>2.5000000000000022E-3</v>
      </c>
      <c r="AH212" s="116"/>
      <c r="AI212" s="116"/>
      <c r="AJ212" s="116"/>
      <c r="AK212" s="116"/>
      <c r="AL212" s="189">
        <f>+AL209-AL207</f>
        <v>2.5000000000000022E-3</v>
      </c>
      <c r="AM212" s="116"/>
      <c r="AN212" s="116"/>
      <c r="AO212" s="116"/>
      <c r="AP212" s="116"/>
      <c r="AQ212" s="189">
        <f>+AQ209-AQ207</f>
        <v>2.5000000000000022E-3</v>
      </c>
    </row>
    <row r="213" spans="1:43" s="30" customFormat="1" ht="15.6" customHeight="1" outlineLevel="1" x14ac:dyDescent="0.25">
      <c r="B213" s="287" t="s">
        <v>265</v>
      </c>
      <c r="C213" s="289"/>
      <c r="D213" s="190"/>
      <c r="E213" s="190"/>
      <c r="F213" s="190"/>
      <c r="G213" s="190"/>
      <c r="H213" s="192"/>
      <c r="I213" s="116"/>
      <c r="J213" s="116"/>
      <c r="K213" s="169"/>
      <c r="L213" s="116"/>
      <c r="M213" s="192"/>
      <c r="N213" s="116"/>
      <c r="O213" s="116"/>
      <c r="P213" s="116"/>
      <c r="Q213" s="116"/>
      <c r="R213" s="210"/>
      <c r="S213" s="116"/>
      <c r="T213" s="116"/>
      <c r="U213" s="116"/>
      <c r="V213" s="451"/>
      <c r="W213" s="199">
        <v>5.5558227941176499E-4</v>
      </c>
      <c r="X213" s="426"/>
      <c r="Y213" s="116"/>
      <c r="Z213" s="116"/>
      <c r="AA213" s="116"/>
      <c r="AB213" s="199">
        <v>5.0000000000000001E-4</v>
      </c>
      <c r="AC213" s="116"/>
      <c r="AD213" s="116"/>
      <c r="AE213" s="116"/>
      <c r="AF213" s="116"/>
      <c r="AG213" s="199">
        <v>0</v>
      </c>
      <c r="AH213" s="116"/>
      <c r="AI213" s="116"/>
      <c r="AJ213" s="116"/>
      <c r="AK213" s="116"/>
      <c r="AL213" s="199">
        <f>+AG213</f>
        <v>0</v>
      </c>
      <c r="AM213" s="116"/>
      <c r="AN213" s="116"/>
      <c r="AO213" s="116"/>
      <c r="AP213" s="116"/>
      <c r="AQ213" s="199">
        <f>+AL213</f>
        <v>0</v>
      </c>
    </row>
    <row r="214" spans="1:43" s="30" customFormat="1" ht="15.6" customHeight="1" outlineLevel="1" x14ac:dyDescent="0.25">
      <c r="A214" s="207"/>
      <c r="B214" s="534" t="s">
        <v>263</v>
      </c>
      <c r="C214" s="535"/>
      <c r="D214" s="193"/>
      <c r="E214" s="193"/>
      <c r="F214" s="193"/>
      <c r="G214" s="193"/>
      <c r="H214" s="153"/>
      <c r="I214" s="193"/>
      <c r="J214" s="193"/>
      <c r="K214" s="193"/>
      <c r="L214" s="193"/>
      <c r="M214" s="153"/>
      <c r="N214" s="193"/>
      <c r="O214" s="193"/>
      <c r="P214" s="193"/>
      <c r="Q214" s="193"/>
      <c r="R214" s="194"/>
      <c r="S214" s="193"/>
      <c r="T214" s="193"/>
      <c r="U214" s="193"/>
      <c r="V214" s="193"/>
      <c r="W214" s="206" t="s">
        <v>262</v>
      </c>
      <c r="X214" s="425"/>
      <c r="Y214" s="193"/>
      <c r="Z214" s="193"/>
      <c r="AA214" s="193"/>
      <c r="AB214" s="206" t="s">
        <v>262</v>
      </c>
      <c r="AC214" s="193"/>
      <c r="AD214" s="193"/>
      <c r="AE214" s="193"/>
      <c r="AF214" s="193"/>
      <c r="AG214" s="206" t="s">
        <v>262</v>
      </c>
      <c r="AH214" s="193"/>
      <c r="AI214" s="193"/>
      <c r="AJ214" s="193"/>
      <c r="AK214" s="193"/>
      <c r="AL214" s="206" t="s">
        <v>262</v>
      </c>
      <c r="AM214" s="193"/>
      <c r="AN214" s="193"/>
      <c r="AO214" s="193"/>
      <c r="AP214" s="193"/>
      <c r="AQ214" s="206" t="s">
        <v>262</v>
      </c>
    </row>
    <row r="215" spans="1:43" ht="15" customHeight="1" x14ac:dyDescent="0.25">
      <c r="B215" s="532" t="s">
        <v>57</v>
      </c>
      <c r="C215" s="540"/>
      <c r="D215" s="67" t="s">
        <v>52</v>
      </c>
      <c r="E215" s="67" t="s">
        <v>55</v>
      </c>
      <c r="F215" s="67" t="s">
        <v>56</v>
      </c>
      <c r="G215" s="67" t="s">
        <v>60</v>
      </c>
      <c r="H215" s="403" t="s">
        <v>61</v>
      </c>
      <c r="I215" s="67" t="s">
        <v>62</v>
      </c>
      <c r="J215" s="67" t="s">
        <v>73</v>
      </c>
      <c r="K215" s="67" t="s">
        <v>77</v>
      </c>
      <c r="L215" s="67" t="s">
        <v>81</v>
      </c>
      <c r="M215" s="403" t="s">
        <v>82</v>
      </c>
      <c r="N215" s="67" t="s">
        <v>83</v>
      </c>
      <c r="O215" s="67" t="s">
        <v>84</v>
      </c>
      <c r="P215" s="67" t="s">
        <v>85</v>
      </c>
      <c r="Q215" s="67" t="s">
        <v>86</v>
      </c>
      <c r="R215" s="403" t="s">
        <v>87</v>
      </c>
      <c r="S215" s="69" t="s">
        <v>344</v>
      </c>
      <c r="T215" s="69" t="s">
        <v>345</v>
      </c>
      <c r="U215" s="69" t="s">
        <v>346</v>
      </c>
      <c r="V215" s="69" t="s">
        <v>347</v>
      </c>
      <c r="W215" s="407" t="s">
        <v>348</v>
      </c>
      <c r="X215" s="69" t="s">
        <v>349</v>
      </c>
      <c r="Y215" s="69" t="s">
        <v>350</v>
      </c>
      <c r="Z215" s="69" t="s">
        <v>351</v>
      </c>
      <c r="AA215" s="69" t="s">
        <v>352</v>
      </c>
      <c r="AB215" s="407" t="s">
        <v>353</v>
      </c>
      <c r="AC215" s="69" t="s">
        <v>354</v>
      </c>
      <c r="AD215" s="69" t="s">
        <v>355</v>
      </c>
      <c r="AE215" s="69" t="s">
        <v>356</v>
      </c>
      <c r="AF215" s="69" t="s">
        <v>357</v>
      </c>
      <c r="AG215" s="407" t="s">
        <v>358</v>
      </c>
      <c r="AH215" s="69" t="s">
        <v>359</v>
      </c>
      <c r="AI215" s="69" t="s">
        <v>360</v>
      </c>
      <c r="AJ215" s="69" t="s">
        <v>361</v>
      </c>
      <c r="AK215" s="69" t="s">
        <v>362</v>
      </c>
      <c r="AL215" s="407" t="s">
        <v>363</v>
      </c>
      <c r="AM215" s="69" t="s">
        <v>364</v>
      </c>
      <c r="AN215" s="69" t="s">
        <v>365</v>
      </c>
      <c r="AO215" s="69" t="s">
        <v>366</v>
      </c>
      <c r="AP215" s="69" t="s">
        <v>367</v>
      </c>
      <c r="AQ215" s="407" t="s">
        <v>368</v>
      </c>
    </row>
    <row r="216" spans="1:43" s="88" customFormat="1" outlineLevel="1" x14ac:dyDescent="0.25">
      <c r="B216" s="538" t="s">
        <v>23</v>
      </c>
      <c r="C216" s="539"/>
      <c r="D216" s="211">
        <f>D13/11684-1</f>
        <v>5.0924340979116689E-2</v>
      </c>
      <c r="E216" s="211">
        <f>E13/11939-1</f>
        <v>4.3052181924784216E-2</v>
      </c>
      <c r="F216" s="211">
        <f>F13/11716-1</f>
        <v>8.0061454421304301E-2</v>
      </c>
      <c r="G216" s="211">
        <f>G13/12114-1</f>
        <v>7.1404985966650125E-2</v>
      </c>
      <c r="H216" s="186">
        <f>H13/47453-1</f>
        <v>6.1365983183360395E-2</v>
      </c>
      <c r="I216" s="211">
        <f t="shared" ref="I216:AQ216" si="25">I13/D13-1</f>
        <v>0.19415261829139174</v>
      </c>
      <c r="J216" s="211">
        <f t="shared" si="25"/>
        <v>0.1989881956155144</v>
      </c>
      <c r="K216" s="211">
        <f t="shared" si="25"/>
        <v>0.18515884305357999</v>
      </c>
      <c r="L216" s="211">
        <f t="shared" si="25"/>
        <v>0.2118036828723322</v>
      </c>
      <c r="M216" s="186">
        <f t="shared" si="25"/>
        <v>0.19763724808895056</v>
      </c>
      <c r="N216" s="211">
        <f t="shared" si="25"/>
        <v>4.3238082247834653E-2</v>
      </c>
      <c r="O216" s="211">
        <f t="shared" si="25"/>
        <v>9.2559105217333126E-2</v>
      </c>
      <c r="P216" s="211">
        <f t="shared" si="25"/>
        <v>0.10195372407814896</v>
      </c>
      <c r="Q216" s="211">
        <f t="shared" si="25"/>
        <v>0.10084726513224807</v>
      </c>
      <c r="R216" s="187">
        <f t="shared" si="25"/>
        <v>8.5066492912680758E-2</v>
      </c>
      <c r="S216" s="211">
        <f t="shared" si="25"/>
        <v>8.4701821619162621E-2</v>
      </c>
      <c r="T216" s="211">
        <f t="shared" si="25"/>
        <v>9.2714533841181446E-2</v>
      </c>
      <c r="U216" s="211">
        <f t="shared" si="25"/>
        <v>9.5301682458120096E-2</v>
      </c>
      <c r="V216" s="211">
        <f t="shared" si="25"/>
        <v>9.3450874203666379E-2</v>
      </c>
      <c r="W216" s="213">
        <f t="shared" si="25"/>
        <v>9.1689842897445084E-2</v>
      </c>
      <c r="X216" s="211">
        <f t="shared" si="25"/>
        <v>9.2517987123781786E-2</v>
      </c>
      <c r="Y216" s="211">
        <f t="shared" si="25"/>
        <v>9.5096092123189369E-2</v>
      </c>
      <c r="Z216" s="211">
        <f t="shared" si="25"/>
        <v>9.5292079047627043E-2</v>
      </c>
      <c r="AA216" s="211">
        <f t="shared" si="25"/>
        <v>9.5402726488759582E-2</v>
      </c>
      <c r="AB216" s="186">
        <f t="shared" si="25"/>
        <v>9.4628292195120922E-2</v>
      </c>
      <c r="AC216" s="211">
        <f t="shared" si="25"/>
        <v>9.5292888191099268E-2</v>
      </c>
      <c r="AD216" s="211">
        <f t="shared" si="25"/>
        <v>9.6565576882637227E-2</v>
      </c>
      <c r="AE216" s="211">
        <f t="shared" si="25"/>
        <v>9.6696503929876387E-2</v>
      </c>
      <c r="AF216" s="211">
        <f t="shared" si="25"/>
        <v>9.7257905398378197E-2</v>
      </c>
      <c r="AG216" s="186">
        <f t="shared" si="25"/>
        <v>9.6487359483812485E-2</v>
      </c>
      <c r="AH216" s="211">
        <f t="shared" si="25"/>
        <v>9.7140806914413957E-2</v>
      </c>
      <c r="AI216" s="211">
        <f t="shared" si="25"/>
        <v>9.8168108450770175E-2</v>
      </c>
      <c r="AJ216" s="211">
        <f t="shared" si="25"/>
        <v>9.8318040106012639E-2</v>
      </c>
      <c r="AK216" s="211">
        <f t="shared" si="25"/>
        <v>9.8952822511638949E-2</v>
      </c>
      <c r="AL216" s="186">
        <f t="shared" si="25"/>
        <v>9.8176492557080719E-2</v>
      </c>
      <c r="AM216" s="211">
        <f t="shared" si="25"/>
        <v>9.8797108788291288E-2</v>
      </c>
      <c r="AN216" s="211">
        <f t="shared" si="25"/>
        <v>9.9769626944684608E-2</v>
      </c>
      <c r="AO216" s="211">
        <f t="shared" si="25"/>
        <v>9.9904839023068792E-2</v>
      </c>
      <c r="AP216" s="211">
        <f t="shared" si="25"/>
        <v>0.10055211175013556</v>
      </c>
      <c r="AQ216" s="186">
        <f t="shared" si="25"/>
        <v>9.9786734806244448E-2</v>
      </c>
    </row>
    <row r="217" spans="1:43" s="88" customFormat="1" outlineLevel="1" x14ac:dyDescent="0.25">
      <c r="B217" s="549" t="s">
        <v>29</v>
      </c>
      <c r="C217" s="550"/>
      <c r="D217" s="171">
        <f t="shared" ref="D217:AQ217" si="26">D25/D13</f>
        <v>9.3167196025734991E-2</v>
      </c>
      <c r="E217" s="171">
        <f t="shared" si="26"/>
        <v>9.1303300409539864E-2</v>
      </c>
      <c r="F217" s="171">
        <f t="shared" si="26"/>
        <v>6.8278805120910391E-2</v>
      </c>
      <c r="G217" s="171">
        <f t="shared" si="26"/>
        <v>-5.2392326065182218E-3</v>
      </c>
      <c r="H217" s="213">
        <f t="shared" si="26"/>
        <v>6.1094013699990075E-2</v>
      </c>
      <c r="I217" s="171">
        <f t="shared" si="26"/>
        <v>8.6203369024074203E-2</v>
      </c>
      <c r="J217" s="171">
        <f t="shared" si="26"/>
        <v>7.8159533855736388E-2</v>
      </c>
      <c r="K217" s="171">
        <f t="shared" si="26"/>
        <v>6.8347002733880113E-2</v>
      </c>
      <c r="L217" s="171">
        <f t="shared" si="26"/>
        <v>0.10052136317395727</v>
      </c>
      <c r="M217" s="213">
        <f t="shared" si="26"/>
        <v>8.3506026293539343E-2</v>
      </c>
      <c r="N217" s="171">
        <f t="shared" si="26"/>
        <v>7.3020853762175583E-2</v>
      </c>
      <c r="O217" s="171">
        <f t="shared" si="26"/>
        <v>7.7361613437136031E-2</v>
      </c>
      <c r="P217" s="171">
        <f t="shared" si="26"/>
        <v>6.0571221106135789E-2</v>
      </c>
      <c r="Q217" s="171">
        <f t="shared" si="26"/>
        <v>8.6064165434497159E-2</v>
      </c>
      <c r="R217" s="213">
        <f t="shared" si="26"/>
        <v>7.4409723854827692E-2</v>
      </c>
      <c r="S217" s="171">
        <f t="shared" si="26"/>
        <v>0.12154154082482176</v>
      </c>
      <c r="T217" s="171">
        <f t="shared" si="26"/>
        <v>0.12541553082914822</v>
      </c>
      <c r="U217" s="171">
        <f t="shared" si="26"/>
        <v>0.12589153030824582</v>
      </c>
      <c r="V217" s="171">
        <f t="shared" si="26"/>
        <v>0.14391579887062983</v>
      </c>
      <c r="W217" s="213">
        <f t="shared" si="26"/>
        <v>0.12953842554326084</v>
      </c>
      <c r="X217" s="171">
        <f t="shared" si="26"/>
        <v>0.12741827860095711</v>
      </c>
      <c r="Y217" s="171">
        <f t="shared" si="26"/>
        <v>0.13235070876580418</v>
      </c>
      <c r="Z217" s="171">
        <f t="shared" si="26"/>
        <v>0.1335638365039277</v>
      </c>
      <c r="AA217" s="171">
        <f t="shared" si="26"/>
        <v>0.14137879405559461</v>
      </c>
      <c r="AB217" s="187">
        <f t="shared" si="26"/>
        <v>0.13390882828209638</v>
      </c>
      <c r="AC217" s="171">
        <f t="shared" si="26"/>
        <v>0.13380734809419287</v>
      </c>
      <c r="AD217" s="171">
        <f t="shared" si="26"/>
        <v>0.138472066432521</v>
      </c>
      <c r="AE217" s="171">
        <f t="shared" si="26"/>
        <v>0.13947217205298854</v>
      </c>
      <c r="AF217" s="171">
        <f t="shared" si="26"/>
        <v>0.14431923354466814</v>
      </c>
      <c r="AG217" s="187">
        <f t="shared" si="26"/>
        <v>0.13919712124378594</v>
      </c>
      <c r="AH217" s="171">
        <f t="shared" si="26"/>
        <v>0.13968411163698322</v>
      </c>
      <c r="AI217" s="171">
        <f t="shared" si="26"/>
        <v>0.14396500436893819</v>
      </c>
      <c r="AJ217" s="171">
        <f t="shared" si="26"/>
        <v>0.14483563982722786</v>
      </c>
      <c r="AK217" s="171">
        <f t="shared" si="26"/>
        <v>0.1492808631639615</v>
      </c>
      <c r="AL217" s="187">
        <f t="shared" si="26"/>
        <v>0.14460708177680576</v>
      </c>
      <c r="AM217" s="171">
        <f t="shared" si="26"/>
        <v>0.14511507973454979</v>
      </c>
      <c r="AN217" s="171">
        <f t="shared" si="26"/>
        <v>0.14903676260001794</v>
      </c>
      <c r="AO217" s="171">
        <f t="shared" si="26"/>
        <v>0.14978535611716334</v>
      </c>
      <c r="AP217" s="171">
        <f t="shared" si="26"/>
        <v>0.15384179503489886</v>
      </c>
      <c r="AQ217" s="187">
        <f t="shared" si="26"/>
        <v>0.14959706746963941</v>
      </c>
    </row>
    <row r="218" spans="1:43" outlineLevel="1" x14ac:dyDescent="0.25">
      <c r="B218" s="214" t="s">
        <v>270</v>
      </c>
      <c r="C218" s="73"/>
      <c r="D218" s="212">
        <f t="shared" ref="D218:AQ218" si="27">+D15/D13</f>
        <v>0.36851535141298153</v>
      </c>
      <c r="E218" s="212">
        <f t="shared" si="27"/>
        <v>0.36697984421424557</v>
      </c>
      <c r="F218" s="212">
        <f t="shared" si="27"/>
        <v>0.37237237237237236</v>
      </c>
      <c r="G218" s="212">
        <f t="shared" si="27"/>
        <v>0.3678249479929116</v>
      </c>
      <c r="H218" s="187">
        <f t="shared" si="27"/>
        <v>0.36892683411098975</v>
      </c>
      <c r="I218" s="212">
        <f t="shared" si="27"/>
        <v>0.36220418741048899</v>
      </c>
      <c r="J218" s="212">
        <f t="shared" si="27"/>
        <v>0.35851583952849775</v>
      </c>
      <c r="K218" s="212">
        <f t="shared" si="27"/>
        <v>0.35973861438954458</v>
      </c>
      <c r="L218" s="212">
        <f t="shared" si="27"/>
        <v>0.34861393692777215</v>
      </c>
      <c r="M218" s="187">
        <f t="shared" si="27"/>
        <v>0.35713456788076725</v>
      </c>
      <c r="N218" s="212">
        <f t="shared" si="27"/>
        <v>0.36072432503105184</v>
      </c>
      <c r="O218" s="212">
        <f t="shared" si="27"/>
        <v>0.35198921105866487</v>
      </c>
      <c r="P218" s="212">
        <f t="shared" si="27"/>
        <v>0.3619145588769212</v>
      </c>
      <c r="Q218" s="212">
        <f t="shared" si="27"/>
        <v>0.34457413985198371</v>
      </c>
      <c r="R218" s="187">
        <f t="shared" si="27"/>
        <v>0.35457533077750103</v>
      </c>
      <c r="S218" s="212">
        <f t="shared" si="27"/>
        <v>0.3588737124546143</v>
      </c>
      <c r="T218" s="212">
        <f t="shared" si="27"/>
        <v>0.35162820423842817</v>
      </c>
      <c r="U218" s="212">
        <f t="shared" si="27"/>
        <v>0.3568008059386481</v>
      </c>
      <c r="V218" s="212">
        <f t="shared" si="27"/>
        <v>0.35725232324746131</v>
      </c>
      <c r="W218" s="187">
        <f t="shared" si="27"/>
        <v>0.35611137504689339</v>
      </c>
      <c r="X218" s="212">
        <f t="shared" si="27"/>
        <v>0.35740228427652287</v>
      </c>
      <c r="Y218" s="212">
        <f t="shared" si="27"/>
        <v>0.35037312374813234</v>
      </c>
      <c r="Z218" s="212">
        <f t="shared" si="27"/>
        <v>0.35551613383161723</v>
      </c>
      <c r="AA218" s="212">
        <f t="shared" si="27"/>
        <v>0.35711611132445426</v>
      </c>
      <c r="AB218" s="187">
        <f t="shared" si="27"/>
        <v>0.35509392618698477</v>
      </c>
      <c r="AC218" s="212">
        <f t="shared" si="27"/>
        <v>0.35631488065740596</v>
      </c>
      <c r="AD218" s="212">
        <f t="shared" si="27"/>
        <v>0.3494696193262336</v>
      </c>
      <c r="AE218" s="212">
        <f t="shared" si="27"/>
        <v>0.35469848781396862</v>
      </c>
      <c r="AF218" s="212">
        <f t="shared" si="27"/>
        <v>0.356436497623144</v>
      </c>
      <c r="AG218" s="187">
        <f t="shared" si="27"/>
        <v>0.3542287502937812</v>
      </c>
      <c r="AH218" s="212">
        <f t="shared" si="27"/>
        <v>0.35545151718170115</v>
      </c>
      <c r="AI218" s="212">
        <f t="shared" si="27"/>
        <v>0.3487069499152689</v>
      </c>
      <c r="AJ218" s="212">
        <f t="shared" si="27"/>
        <v>0.3539573611168465</v>
      </c>
      <c r="AK218" s="212">
        <f t="shared" si="27"/>
        <v>0.3557024509302889</v>
      </c>
      <c r="AL218" s="187">
        <f t="shared" si="27"/>
        <v>0.35345583549107734</v>
      </c>
      <c r="AM218" s="212">
        <f t="shared" si="27"/>
        <v>0.35467485298605123</v>
      </c>
      <c r="AN218" s="212">
        <f t="shared" si="27"/>
        <v>0.34800025604364093</v>
      </c>
      <c r="AO218" s="212">
        <f t="shared" si="27"/>
        <v>0.35327034339897545</v>
      </c>
      <c r="AP218" s="212">
        <f t="shared" si="27"/>
        <v>0.35503453263989526</v>
      </c>
      <c r="AQ218" s="187">
        <f t="shared" si="27"/>
        <v>0.35274829645701267</v>
      </c>
    </row>
    <row r="219" spans="1:43" outlineLevel="1" x14ac:dyDescent="0.25">
      <c r="B219" s="287" t="s">
        <v>269</v>
      </c>
      <c r="C219" s="286"/>
      <c r="D219" s="212">
        <f t="shared" ref="D219:AQ219" si="28">+D16/D13</f>
        <v>0.19089502402475772</v>
      </c>
      <c r="E219" s="212">
        <f t="shared" si="28"/>
        <v>0.20380631173211275</v>
      </c>
      <c r="F219" s="212">
        <f t="shared" si="28"/>
        <v>0.20728623360202308</v>
      </c>
      <c r="G219" s="212">
        <f t="shared" si="28"/>
        <v>0.18961399183296093</v>
      </c>
      <c r="H219" s="187">
        <f t="shared" si="28"/>
        <v>0.19787550878586319</v>
      </c>
      <c r="I219" s="212">
        <f t="shared" si="28"/>
        <v>0.22096433199208892</v>
      </c>
      <c r="J219" s="212">
        <f t="shared" si="28"/>
        <v>0.22979036903087535</v>
      </c>
      <c r="K219" s="212">
        <f t="shared" si="28"/>
        <v>0.23324664932986597</v>
      </c>
      <c r="L219" s="212">
        <f t="shared" si="28"/>
        <v>0.2200534079348932</v>
      </c>
      <c r="M219" s="187">
        <f t="shared" si="28"/>
        <v>0.22596528457036755</v>
      </c>
      <c r="N219" s="212">
        <f t="shared" si="28"/>
        <v>0.22520755703732759</v>
      </c>
      <c r="O219" s="212">
        <f t="shared" si="28"/>
        <v>0.23539508367559614</v>
      </c>
      <c r="P219" s="212">
        <f t="shared" si="28"/>
        <v>0.23810964540723709</v>
      </c>
      <c r="Q219" s="212">
        <f t="shared" si="28"/>
        <v>0.2241522354618754</v>
      </c>
      <c r="R219" s="187">
        <f t="shared" si="28"/>
        <v>0.23072530142073699</v>
      </c>
      <c r="S219" s="212">
        <f t="shared" si="28"/>
        <v>0.22405218184236067</v>
      </c>
      <c r="T219" s="212">
        <f t="shared" si="28"/>
        <v>0.23515365800689028</v>
      </c>
      <c r="U219" s="212">
        <f t="shared" si="28"/>
        <v>0.23474522176368173</v>
      </c>
      <c r="V219" s="212">
        <f t="shared" si="28"/>
        <v>0.23239964239413302</v>
      </c>
      <c r="W219" s="187">
        <f t="shared" si="28"/>
        <v>0.23174243934033198</v>
      </c>
      <c r="X219" s="212">
        <f t="shared" si="28"/>
        <v>0.2231335392048969</v>
      </c>
      <c r="Y219" s="212">
        <f t="shared" si="28"/>
        <v>0.23431431473229328</v>
      </c>
      <c r="Z219" s="212">
        <f t="shared" si="28"/>
        <v>0.2339000144837676</v>
      </c>
      <c r="AA219" s="212">
        <f t="shared" si="28"/>
        <v>0.23231103386694724</v>
      </c>
      <c r="AB219" s="187">
        <f t="shared" si="28"/>
        <v>0.23108668090343498</v>
      </c>
      <c r="AC219" s="212">
        <f t="shared" si="28"/>
        <v>0.22245465093598468</v>
      </c>
      <c r="AD219" s="212">
        <f t="shared" si="28"/>
        <v>0.23371009024951878</v>
      </c>
      <c r="AE219" s="212">
        <f t="shared" si="28"/>
        <v>0.23336207148436158</v>
      </c>
      <c r="AF219" s="212">
        <f t="shared" si="28"/>
        <v>0.2318689318262524</v>
      </c>
      <c r="AG219" s="187">
        <f t="shared" si="28"/>
        <v>0.23052742188949399</v>
      </c>
      <c r="AH219" s="212">
        <f t="shared" si="28"/>
        <v>0.22191563550035526</v>
      </c>
      <c r="AI219" s="212">
        <f t="shared" si="28"/>
        <v>0.2332000501000753</v>
      </c>
      <c r="AJ219" s="212">
        <f t="shared" si="28"/>
        <v>0.23287447182658269</v>
      </c>
      <c r="AK219" s="212">
        <f t="shared" si="28"/>
        <v>0.23139142005706528</v>
      </c>
      <c r="AL219" s="187">
        <f t="shared" si="28"/>
        <v>0.23002710784278693</v>
      </c>
      <c r="AM219" s="212">
        <f t="shared" si="28"/>
        <v>0.22143074819444478</v>
      </c>
      <c r="AN219" s="212">
        <f t="shared" si="28"/>
        <v>0.23272744395812975</v>
      </c>
      <c r="AO219" s="212">
        <f t="shared" si="28"/>
        <v>0.23242247137183891</v>
      </c>
      <c r="AP219" s="212">
        <f t="shared" si="28"/>
        <v>0.23095692611053198</v>
      </c>
      <c r="AQ219" s="187">
        <f t="shared" si="28"/>
        <v>0.22956902154533093</v>
      </c>
    </row>
    <row r="220" spans="1:43" outlineLevel="1" x14ac:dyDescent="0.25">
      <c r="B220" s="214" t="s">
        <v>268</v>
      </c>
      <c r="C220" s="73"/>
      <c r="D220" s="212">
        <f t="shared" ref="D220:AQ220" si="29">+D19/D13</f>
        <v>5.7985177946086812E-2</v>
      </c>
      <c r="E220" s="212">
        <f t="shared" si="29"/>
        <v>4.9385690195133704E-2</v>
      </c>
      <c r="F220" s="212">
        <f t="shared" si="29"/>
        <v>4.2437174016121383E-2</v>
      </c>
      <c r="G220" s="212">
        <f t="shared" si="29"/>
        <v>4.1220433007165422E-2</v>
      </c>
      <c r="H220" s="187">
        <f t="shared" si="29"/>
        <v>4.7632284324431652E-2</v>
      </c>
      <c r="I220" s="212">
        <f t="shared" si="29"/>
        <v>4.4329264134215375E-2</v>
      </c>
      <c r="J220" s="212">
        <f t="shared" si="29"/>
        <v>4.4069385841537738E-2</v>
      </c>
      <c r="K220" s="212">
        <f t="shared" si="29"/>
        <v>4.9009801960392077E-2</v>
      </c>
      <c r="L220" s="212">
        <f t="shared" si="29"/>
        <v>4.6414038657171926E-2</v>
      </c>
      <c r="M220" s="187">
        <f t="shared" si="29"/>
        <v>4.5972247550523052E-2</v>
      </c>
      <c r="N220" s="212">
        <f t="shared" si="29"/>
        <v>4.5956723540563509E-2</v>
      </c>
      <c r="O220" s="212">
        <f t="shared" si="29"/>
        <v>5.0144056887145225E-2</v>
      </c>
      <c r="P220" s="212">
        <f t="shared" si="29"/>
        <v>5.5306789301706405E-2</v>
      </c>
      <c r="Q220" s="212">
        <f t="shared" si="29"/>
        <v>5.4233174207343728E-2</v>
      </c>
      <c r="R220" s="187">
        <f t="shared" si="29"/>
        <v>5.1550703065596094E-2</v>
      </c>
      <c r="S220" s="212">
        <f t="shared" si="29"/>
        <v>5.0798643173470923E-2</v>
      </c>
      <c r="T220" s="212">
        <f t="shared" si="29"/>
        <v>4.928086267114859E-2</v>
      </c>
      <c r="U220" s="212">
        <f t="shared" si="29"/>
        <v>4.9368268704994424E-2</v>
      </c>
      <c r="V220" s="212">
        <f t="shared" si="29"/>
        <v>4.6933177782404981E-2</v>
      </c>
      <c r="W220" s="187">
        <f t="shared" si="29"/>
        <v>4.9033413795631996E-2</v>
      </c>
      <c r="X220" s="212">
        <f t="shared" si="29"/>
        <v>4.8315416632274136E-2</v>
      </c>
      <c r="Y220" s="212">
        <f t="shared" si="29"/>
        <v>4.5291473617759086E-2</v>
      </c>
      <c r="Z220" s="212">
        <f t="shared" si="29"/>
        <v>4.4665464579150577E-2</v>
      </c>
      <c r="AA220" s="212">
        <f t="shared" si="29"/>
        <v>4.2602895503095636E-2</v>
      </c>
      <c r="AB220" s="187">
        <f t="shared" si="29"/>
        <v>4.5120780989855905E-2</v>
      </c>
      <c r="AC220" s="212">
        <f t="shared" si="29"/>
        <v>4.4434193905417939E-2</v>
      </c>
      <c r="AD220" s="212">
        <f t="shared" si="29"/>
        <v>4.1290723595404873E-2</v>
      </c>
      <c r="AE220" s="212">
        <f t="shared" si="29"/>
        <v>4.0647106658244385E-2</v>
      </c>
      <c r="AF220" s="212">
        <f t="shared" si="29"/>
        <v>3.8819595079205731E-2</v>
      </c>
      <c r="AG220" s="187">
        <f t="shared" si="29"/>
        <v>4.1199643423662009E-2</v>
      </c>
      <c r="AH220" s="212">
        <f t="shared" si="29"/>
        <v>4.0548579980572354E-2</v>
      </c>
      <c r="AI220" s="212">
        <f t="shared" si="29"/>
        <v>3.7587840631396294E-2</v>
      </c>
      <c r="AJ220" s="212">
        <f t="shared" si="29"/>
        <v>3.6996743145451726E-2</v>
      </c>
      <c r="AK220" s="212">
        <f t="shared" si="29"/>
        <v>3.5327554761902302E-2</v>
      </c>
      <c r="AL220" s="187">
        <f t="shared" si="29"/>
        <v>3.752262460030259E-2</v>
      </c>
      <c r="AM220" s="212">
        <f t="shared" si="29"/>
        <v>3.690880951871451E-2</v>
      </c>
      <c r="AN220" s="212">
        <f t="shared" si="29"/>
        <v>3.4174757654222974E-2</v>
      </c>
      <c r="AO220" s="212">
        <f t="shared" si="29"/>
        <v>3.3635058948739367E-2</v>
      </c>
      <c r="AP220" s="212">
        <f t="shared" si="29"/>
        <v>3.2100902615561408E-2</v>
      </c>
      <c r="AQ220" s="187">
        <f t="shared" si="29"/>
        <v>3.4118676166842964E-2</v>
      </c>
    </row>
    <row r="221" spans="1:43" s="88" customFormat="1" outlineLevel="1" x14ac:dyDescent="0.25">
      <c r="B221" s="598" t="s">
        <v>2</v>
      </c>
      <c r="C221" s="599"/>
      <c r="D221" s="366">
        <f t="shared" ref="D221:R221" si="30">+D36/D34</f>
        <v>0.36162361623616235</v>
      </c>
      <c r="E221" s="366">
        <f t="shared" si="30"/>
        <v>0.34502369668246446</v>
      </c>
      <c r="F221" s="366">
        <f t="shared" si="30"/>
        <v>0.35166240409207161</v>
      </c>
      <c r="G221" s="366">
        <f t="shared" si="30"/>
        <v>0.61325966850828728</v>
      </c>
      <c r="H221" s="367">
        <f t="shared" si="30"/>
        <v>0.33576642335766421</v>
      </c>
      <c r="I221" s="366">
        <f t="shared" si="30"/>
        <v>0.37390542907180385</v>
      </c>
      <c r="J221" s="366">
        <f t="shared" si="30"/>
        <v>0.35064935064935066</v>
      </c>
      <c r="K221" s="366">
        <f t="shared" si="30"/>
        <v>0.37486095661846497</v>
      </c>
      <c r="L221" s="366">
        <f t="shared" si="30"/>
        <v>0.30136986301369861</v>
      </c>
      <c r="M221" s="367">
        <f t="shared" si="30"/>
        <v>0.34549028172089974</v>
      </c>
      <c r="N221" s="366">
        <f t="shared" si="30"/>
        <v>0.39307535641547864</v>
      </c>
      <c r="O221" s="366">
        <f t="shared" si="30"/>
        <v>0.31957857769973663</v>
      </c>
      <c r="P221" s="366">
        <f t="shared" si="30"/>
        <v>-1.3729977116704806</v>
      </c>
      <c r="Q221" s="366">
        <f t="shared" si="30"/>
        <v>0.17008733828723618</v>
      </c>
      <c r="R221" s="367">
        <f t="shared" si="30"/>
        <v>-5.0308677204853956E-2</v>
      </c>
      <c r="S221" s="311">
        <v>0.25</v>
      </c>
      <c r="T221" s="311">
        <v>0.25</v>
      </c>
      <c r="U221" s="311">
        <v>0.25</v>
      </c>
      <c r="V221" s="311">
        <v>0.25</v>
      </c>
      <c r="W221" s="367">
        <f>+W36/W34</f>
        <v>0.24999999999999994</v>
      </c>
      <c r="X221" s="311">
        <f>V221</f>
        <v>0.25</v>
      </c>
      <c r="Y221" s="311">
        <f>X221</f>
        <v>0.25</v>
      </c>
      <c r="Z221" s="311">
        <f>Y221</f>
        <v>0.25</v>
      </c>
      <c r="AA221" s="311">
        <f>Z221</f>
        <v>0.25</v>
      </c>
      <c r="AB221" s="367">
        <f>+AB36/AB34</f>
        <v>0.24999999999999939</v>
      </c>
      <c r="AC221" s="311">
        <f>AA221</f>
        <v>0.25</v>
      </c>
      <c r="AD221" s="311">
        <f>AC221</f>
        <v>0.25</v>
      </c>
      <c r="AE221" s="311">
        <f>AD221</f>
        <v>0.25</v>
      </c>
      <c r="AF221" s="311">
        <f>AE221</f>
        <v>0.25</v>
      </c>
      <c r="AG221" s="367">
        <f>+AG36/AG34</f>
        <v>0.25</v>
      </c>
      <c r="AH221" s="311">
        <f>AF221</f>
        <v>0.25</v>
      </c>
      <c r="AI221" s="311">
        <f>AH221</f>
        <v>0.25</v>
      </c>
      <c r="AJ221" s="311">
        <f>AI221</f>
        <v>0.25</v>
      </c>
      <c r="AK221" s="311">
        <f>AJ221</f>
        <v>0.25</v>
      </c>
      <c r="AL221" s="367">
        <f>+AL36/AL34</f>
        <v>0.25000000000000006</v>
      </c>
      <c r="AM221" s="311">
        <f>AK221</f>
        <v>0.25</v>
      </c>
      <c r="AN221" s="311">
        <f>AM221</f>
        <v>0.25</v>
      </c>
      <c r="AO221" s="311">
        <f>AN221</f>
        <v>0.25</v>
      </c>
      <c r="AP221" s="311">
        <f>AO221</f>
        <v>0.25</v>
      </c>
      <c r="AQ221" s="367">
        <f>+AQ36/AQ34</f>
        <v>0.24999999999999997</v>
      </c>
    </row>
    <row r="222" spans="1:43" outlineLevel="1" x14ac:dyDescent="0.25">
      <c r="B222" s="553" t="s">
        <v>375</v>
      </c>
      <c r="C222" s="554"/>
      <c r="D222" s="368"/>
      <c r="E222" s="369"/>
      <c r="F222" s="369"/>
      <c r="G222" s="369"/>
      <c r="H222" s="370"/>
      <c r="I222" s="369"/>
      <c r="J222" s="369"/>
      <c r="K222" s="369"/>
      <c r="L222" s="369"/>
      <c r="M222" s="370">
        <f>+M30/((M244+H244)/2)</f>
        <v>8.7964814074370252E-3</v>
      </c>
      <c r="N222" s="369"/>
      <c r="O222" s="369"/>
      <c r="P222" s="369"/>
      <c r="Q222" s="369"/>
      <c r="R222" s="370">
        <f>+R30/((R244+M244)/2)</f>
        <v>1.3270435549487699E-2</v>
      </c>
      <c r="S222" s="223">
        <f t="shared" ref="S222:V223" si="31">+R222</f>
        <v>1.3270435549487699E-2</v>
      </c>
      <c r="T222" s="223">
        <f t="shared" si="31"/>
        <v>1.3270435549487699E-2</v>
      </c>
      <c r="U222" s="223">
        <f t="shared" si="31"/>
        <v>1.3270435549487699E-2</v>
      </c>
      <c r="V222" s="223">
        <f t="shared" si="31"/>
        <v>1.3270435549487699E-2</v>
      </c>
      <c r="W222" s="370">
        <f>+W30/((W244+R244)/2)</f>
        <v>1.1203387323179171E-2</v>
      </c>
      <c r="X222" s="223">
        <f t="shared" ref="X222:AA223" si="32">+W222</f>
        <v>1.1203387323179171E-2</v>
      </c>
      <c r="Y222" s="223">
        <f t="shared" si="32"/>
        <v>1.1203387323179171E-2</v>
      </c>
      <c r="Z222" s="223">
        <f t="shared" si="32"/>
        <v>1.1203387323179171E-2</v>
      </c>
      <c r="AA222" s="223">
        <f t="shared" si="32"/>
        <v>1.1203387323179171E-2</v>
      </c>
      <c r="AB222" s="370">
        <f>+AB30/((AB244+W244)/2)</f>
        <v>1.0289737490907225E-2</v>
      </c>
      <c r="AC222" s="223">
        <f t="shared" ref="AC222:AF223" si="33">+AB222</f>
        <v>1.0289737490907225E-2</v>
      </c>
      <c r="AD222" s="223">
        <f t="shared" si="33"/>
        <v>1.0289737490907225E-2</v>
      </c>
      <c r="AE222" s="223">
        <f t="shared" si="33"/>
        <v>1.0289737490907225E-2</v>
      </c>
      <c r="AF222" s="223">
        <f t="shared" si="33"/>
        <v>1.0289737490907225E-2</v>
      </c>
      <c r="AG222" s="370">
        <f>+AG30/((AG244+AB244)/2)</f>
        <v>9.698319294040119E-3</v>
      </c>
      <c r="AH222" s="223">
        <f t="shared" ref="AH222:AK223" si="34">+AG222</f>
        <v>9.698319294040119E-3</v>
      </c>
      <c r="AI222" s="223">
        <f t="shared" si="34"/>
        <v>9.698319294040119E-3</v>
      </c>
      <c r="AJ222" s="223">
        <f t="shared" si="34"/>
        <v>9.698319294040119E-3</v>
      </c>
      <c r="AK222" s="223">
        <f t="shared" si="34"/>
        <v>9.698319294040119E-3</v>
      </c>
      <c r="AL222" s="370">
        <f>+AL30/((AL244+AG244)/2)</f>
        <v>9.2534440106510647E-3</v>
      </c>
      <c r="AM222" s="223">
        <f t="shared" ref="AM222:AP223" si="35">+AL222</f>
        <v>9.2534440106510647E-3</v>
      </c>
      <c r="AN222" s="223">
        <f t="shared" si="35"/>
        <v>9.2534440106510647E-3</v>
      </c>
      <c r="AO222" s="223">
        <f t="shared" si="35"/>
        <v>9.2534440106510647E-3</v>
      </c>
      <c r="AP222" s="223">
        <f t="shared" si="35"/>
        <v>9.2534440106510647E-3</v>
      </c>
      <c r="AQ222" s="370">
        <f>+AQ30/((AQ244+AL244)/2)</f>
        <v>8.8942477903302657E-3</v>
      </c>
    </row>
    <row r="223" spans="1:43" outlineLevel="1" x14ac:dyDescent="0.25">
      <c r="B223" s="155" t="s">
        <v>374</v>
      </c>
      <c r="C223" s="105"/>
      <c r="D223" s="368"/>
      <c r="E223" s="369"/>
      <c r="F223" s="369"/>
      <c r="G223" s="369"/>
      <c r="H223" s="371"/>
      <c r="I223" s="369"/>
      <c r="J223" s="369"/>
      <c r="K223" s="369"/>
      <c r="L223" s="369"/>
      <c r="M223" s="370">
        <f>+M29/((M258+M263+H258+H263)/2)</f>
        <v>-3.5688146934792456E-2</v>
      </c>
      <c r="N223" s="369"/>
      <c r="O223" s="369"/>
      <c r="P223" s="369"/>
      <c r="Q223" s="369"/>
      <c r="R223" s="370">
        <f>+R29/((R258+R263+M258+M263)/2)</f>
        <v>-3.5410585099631936E-2</v>
      </c>
      <c r="S223" s="223">
        <f t="shared" si="31"/>
        <v>-3.5410585099631936E-2</v>
      </c>
      <c r="T223" s="223">
        <f t="shared" si="31"/>
        <v>-3.5410585099631936E-2</v>
      </c>
      <c r="U223" s="223">
        <f t="shared" si="31"/>
        <v>-3.5410585099631936E-2</v>
      </c>
      <c r="V223" s="223">
        <f t="shared" si="31"/>
        <v>-3.5410585099631936E-2</v>
      </c>
      <c r="W223" s="370">
        <f>+W29/((W258+W263+R258+R263)/2)</f>
        <v>-3.4093801482509824E-2</v>
      </c>
      <c r="X223" s="223">
        <f t="shared" si="32"/>
        <v>-3.4093801482509824E-2</v>
      </c>
      <c r="Y223" s="223">
        <f t="shared" si="32"/>
        <v>-3.4093801482509824E-2</v>
      </c>
      <c r="Z223" s="223">
        <f t="shared" si="32"/>
        <v>-3.4093801482509824E-2</v>
      </c>
      <c r="AA223" s="223">
        <f t="shared" si="32"/>
        <v>-3.4093801482509824E-2</v>
      </c>
      <c r="AB223" s="370">
        <f>+AB29/((AB258+AB263+W258+W263)/2)</f>
        <v>-3.2954322938473751E-2</v>
      </c>
      <c r="AC223" s="223">
        <f t="shared" si="33"/>
        <v>-3.2954322938473751E-2</v>
      </c>
      <c r="AD223" s="223">
        <f t="shared" si="33"/>
        <v>-3.2954322938473751E-2</v>
      </c>
      <c r="AE223" s="223">
        <f t="shared" si="33"/>
        <v>-3.2954322938473751E-2</v>
      </c>
      <c r="AF223" s="223">
        <f t="shared" si="33"/>
        <v>-3.2954322938473751E-2</v>
      </c>
      <c r="AG223" s="370">
        <f>+AG29/((AG258+AG263+AB258+AB263)/2)</f>
        <v>-3.1934726152467403E-2</v>
      </c>
      <c r="AH223" s="223">
        <f t="shared" si="34"/>
        <v>-3.1934726152467403E-2</v>
      </c>
      <c r="AI223" s="223">
        <f t="shared" si="34"/>
        <v>-3.1934726152467403E-2</v>
      </c>
      <c r="AJ223" s="223">
        <f t="shared" si="34"/>
        <v>-3.1934726152467403E-2</v>
      </c>
      <c r="AK223" s="223">
        <f t="shared" si="34"/>
        <v>-3.1934726152467403E-2</v>
      </c>
      <c r="AL223" s="370">
        <f>+AL29/((AL258+AL263+AG258+AG263)/2)</f>
        <v>-3.1000691249609937E-2</v>
      </c>
      <c r="AM223" s="223">
        <f t="shared" si="35"/>
        <v>-3.1000691249609937E-2</v>
      </c>
      <c r="AN223" s="223">
        <f t="shared" si="35"/>
        <v>-3.1000691249609937E-2</v>
      </c>
      <c r="AO223" s="223">
        <f t="shared" si="35"/>
        <v>-3.1000691249609937E-2</v>
      </c>
      <c r="AP223" s="223">
        <f t="shared" si="35"/>
        <v>-3.1000691249609937E-2</v>
      </c>
      <c r="AQ223" s="370">
        <f>+AQ29/((AQ258+AQ263+AL258+AL263)/2)</f>
        <v>-3.014055651855136E-2</v>
      </c>
    </row>
    <row r="224" spans="1:43" ht="15.75" x14ac:dyDescent="0.25">
      <c r="B224" s="532" t="s">
        <v>70</v>
      </c>
      <c r="C224" s="540"/>
      <c r="D224" s="67" t="s">
        <v>52</v>
      </c>
      <c r="E224" s="67" t="s">
        <v>55</v>
      </c>
      <c r="F224" s="67" t="s">
        <v>56</v>
      </c>
      <c r="G224" s="67" t="s">
        <v>60</v>
      </c>
      <c r="H224" s="403" t="s">
        <v>61</v>
      </c>
      <c r="I224" s="67" t="s">
        <v>62</v>
      </c>
      <c r="J224" s="67" t="s">
        <v>73</v>
      </c>
      <c r="K224" s="67" t="s">
        <v>77</v>
      </c>
      <c r="L224" s="67" t="s">
        <v>81</v>
      </c>
      <c r="M224" s="403" t="s">
        <v>82</v>
      </c>
      <c r="N224" s="67" t="s">
        <v>83</v>
      </c>
      <c r="O224" s="67" t="s">
        <v>84</v>
      </c>
      <c r="P224" s="67" t="s">
        <v>85</v>
      </c>
      <c r="Q224" s="67" t="s">
        <v>86</v>
      </c>
      <c r="R224" s="403" t="s">
        <v>87</v>
      </c>
      <c r="S224" s="69" t="s">
        <v>344</v>
      </c>
      <c r="T224" s="69" t="s">
        <v>345</v>
      </c>
      <c r="U224" s="69" t="s">
        <v>346</v>
      </c>
      <c r="V224" s="69" t="s">
        <v>347</v>
      </c>
      <c r="W224" s="407" t="s">
        <v>348</v>
      </c>
      <c r="X224" s="69" t="s">
        <v>349</v>
      </c>
      <c r="Y224" s="69" t="s">
        <v>350</v>
      </c>
      <c r="Z224" s="69" t="s">
        <v>351</v>
      </c>
      <c r="AA224" s="69" t="s">
        <v>352</v>
      </c>
      <c r="AB224" s="407" t="s">
        <v>353</v>
      </c>
      <c r="AC224" s="69" t="s">
        <v>354</v>
      </c>
      <c r="AD224" s="69" t="s">
        <v>355</v>
      </c>
      <c r="AE224" s="69" t="s">
        <v>356</v>
      </c>
      <c r="AF224" s="69" t="s">
        <v>357</v>
      </c>
      <c r="AG224" s="407" t="s">
        <v>358</v>
      </c>
      <c r="AH224" s="69" t="s">
        <v>359</v>
      </c>
      <c r="AI224" s="69" t="s">
        <v>360</v>
      </c>
      <c r="AJ224" s="69" t="s">
        <v>361</v>
      </c>
      <c r="AK224" s="69" t="s">
        <v>362</v>
      </c>
      <c r="AL224" s="407" t="s">
        <v>363</v>
      </c>
      <c r="AM224" s="69" t="s">
        <v>364</v>
      </c>
      <c r="AN224" s="69" t="s">
        <v>365</v>
      </c>
      <c r="AO224" s="69" t="s">
        <v>366</v>
      </c>
      <c r="AP224" s="69" t="s">
        <v>367</v>
      </c>
      <c r="AQ224" s="407" t="s">
        <v>368</v>
      </c>
    </row>
    <row r="225" spans="2:43" outlineLevel="1" x14ac:dyDescent="0.25">
      <c r="B225" s="549" t="s">
        <v>50</v>
      </c>
      <c r="C225" s="550"/>
      <c r="D225" s="171">
        <f>(D40+D229)/283-1</f>
        <v>3.697920946665878E-4</v>
      </c>
      <c r="E225" s="171">
        <f>(E40+E229)/D40-1</f>
        <v>1.3352786723233923E-2</v>
      </c>
      <c r="F225" s="171">
        <f>(F40+F229)/E40-1</f>
        <v>-1.6534967987091864E-3</v>
      </c>
      <c r="G225" s="171">
        <f>(G40+G229)/F40-1</f>
        <v>2.9134173621392367E-3</v>
      </c>
      <c r="H225" s="186"/>
      <c r="I225" s="171">
        <f>(I40+I229)/G40-1</f>
        <v>-8.230703284084262E-3</v>
      </c>
      <c r="J225" s="171">
        <f>(J40+J229)/I40-1</f>
        <v>4.7106921884758624E-3</v>
      </c>
      <c r="K225" s="171">
        <f>(K40+K229)/J40-1</f>
        <v>4.8161398478585582E-4</v>
      </c>
      <c r="L225" s="171">
        <f>(L40+L229)/K40-1</f>
        <v>8.4050081076847416E-3</v>
      </c>
      <c r="M225" s="186"/>
      <c r="N225" s="171">
        <f>(N40+N229)/L40-1</f>
        <v>3.7397157816005944E-3</v>
      </c>
      <c r="O225" s="171">
        <f>(O40+O229)/N40-1</f>
        <v>2.9850746268658135E-3</v>
      </c>
      <c r="P225" s="171">
        <f>(P40+P229)/O40-1</f>
        <v>4.4776119402984982E-3</v>
      </c>
      <c r="Q225" s="171">
        <f>(Q40+Q229)/P40-1</f>
        <v>1.1194029850745135E-3</v>
      </c>
      <c r="R225" s="38"/>
      <c r="S225" s="223">
        <f>AVERAGE(Q225,P225,O225,N225)</f>
        <v>3.0804513334598549E-3</v>
      </c>
      <c r="T225" s="223">
        <f>AVERAGE(S225,Q225,P225,O225)</f>
        <v>2.91563522142467E-3</v>
      </c>
      <c r="U225" s="223">
        <f>AVERAGE(T225,S225,Q225,P225)</f>
        <v>2.8982753700643842E-3</v>
      </c>
      <c r="V225" s="223">
        <f>AVERAGE(U225,T225,S225,Q225)</f>
        <v>2.5034412275058556E-3</v>
      </c>
      <c r="W225" s="38"/>
      <c r="X225" s="223">
        <f>AVERAGE(V225,U225,T225,S225)</f>
        <v>2.8494507881136914E-3</v>
      </c>
      <c r="Y225" s="223">
        <f>AVERAGE(X225,V225,U225,T225)</f>
        <v>2.7917006517771503E-3</v>
      </c>
      <c r="Z225" s="223">
        <f>AVERAGE(Y225,X225,V225,U225)</f>
        <v>2.76071700936527E-3</v>
      </c>
      <c r="AA225" s="223">
        <f>AVERAGE(Z225,Y225,X225,V225)</f>
        <v>2.726327419190492E-3</v>
      </c>
      <c r="AB225" s="38"/>
      <c r="AC225" s="223">
        <f>AVERAGE(AA225,Z225,Y225,X225)</f>
        <v>2.7820489671116508E-3</v>
      </c>
      <c r="AD225" s="223">
        <f>AVERAGE(AC225,AA225,Z225,Y225)</f>
        <v>2.7651985118611411E-3</v>
      </c>
      <c r="AE225" s="223">
        <f>AVERAGE(AD225,AC225,AA225,Z225)</f>
        <v>2.7585729768821385E-3</v>
      </c>
      <c r="AF225" s="223">
        <f>AVERAGE(AE225,AD225,AC225,AA225)</f>
        <v>2.7580369687613556E-3</v>
      </c>
      <c r="AG225" s="38"/>
      <c r="AH225" s="223">
        <f>AVERAGE(AF225,AE225,AD225,AC225)</f>
        <v>2.7659643561540716E-3</v>
      </c>
      <c r="AI225" s="223">
        <f>AVERAGE(AH225,AF225,AE225,AD225)</f>
        <v>2.7619432034146768E-3</v>
      </c>
      <c r="AJ225" s="223">
        <f>AVERAGE(AI225,AH225,AF225,AE225)</f>
        <v>2.7611293763030605E-3</v>
      </c>
      <c r="AK225" s="223">
        <f>AVERAGE(AJ225,AI225,AH225,AF225)</f>
        <v>2.7617684761582916E-3</v>
      </c>
      <c r="AL225" s="38"/>
      <c r="AM225" s="223">
        <f>AVERAGE(AK225,AJ225,AI225,AH225)</f>
        <v>2.7627013530075253E-3</v>
      </c>
      <c r="AN225" s="223">
        <f>AVERAGE(AM225,AK225,AJ225,AI225)</f>
        <v>2.7618856022208886E-3</v>
      </c>
      <c r="AO225" s="223">
        <f>AVERAGE(AN225,AM225,AK225,AJ225)</f>
        <v>2.7618712019224414E-3</v>
      </c>
      <c r="AP225" s="223">
        <f>AVERAGE(AO225,AN225,AM225,AK225)</f>
        <v>2.7620566583272865E-3</v>
      </c>
      <c r="AQ225" s="38"/>
    </row>
    <row r="226" spans="2:43" outlineLevel="1" x14ac:dyDescent="0.25">
      <c r="B226" s="549" t="s">
        <v>51</v>
      </c>
      <c r="C226" s="550"/>
      <c r="D226" s="171">
        <f>(D41+D229)/283-1</f>
        <v>1.4504067713041247E-2</v>
      </c>
      <c r="E226" s="171">
        <f>(E41+E229)/D41-1</f>
        <v>1.0499647953522429E-2</v>
      </c>
      <c r="F226" s="171">
        <f>(F41+F229)/E41-1</f>
        <v>-2.4734982332155209E-3</v>
      </c>
      <c r="G226" s="171">
        <f>(G41+G229)/F41-1</f>
        <v>-8.0274562818112294E-3</v>
      </c>
      <c r="H226" s="186"/>
      <c r="I226" s="171">
        <f>(I41+I229)/G41-1</f>
        <v>6.6391851917522171E-3</v>
      </c>
      <c r="J226" s="171">
        <f>(J41+J229)/I41-1</f>
        <v>4.6407487261377334E-3</v>
      </c>
      <c r="K226" s="171">
        <f>(K41+K229)/J41-1</f>
        <v>4.1781826664926136E-3</v>
      </c>
      <c r="L226" s="171">
        <f>(L41+L229)/K41-1</f>
        <v>5.6669083271001508E-3</v>
      </c>
      <c r="M226" s="186"/>
      <c r="N226" s="171">
        <f>(N41+N229)/L41-1</f>
        <v>2.5763709974235827E-3</v>
      </c>
      <c r="O226" s="171">
        <f>(O41+O229)/N41-1</f>
        <v>6.225305502846501E-3</v>
      </c>
      <c r="P226" s="171">
        <f>(P41+P229)/O41-1</f>
        <v>4.7883806021065123E-3</v>
      </c>
      <c r="Q226" s="171">
        <f>(Q41+Q229)/P41-1</f>
        <v>1.098901098900873E-3</v>
      </c>
      <c r="R226" s="38"/>
      <c r="S226" s="223">
        <f>AVERAGE(Q226,P226,O226,N226)</f>
        <v>3.6722395503193672E-3</v>
      </c>
      <c r="T226" s="223">
        <f>AVERAGE(S226,Q226,P226,O226)</f>
        <v>3.9462066885433134E-3</v>
      </c>
      <c r="U226" s="223">
        <f>AVERAGE(T226,S226,Q226,P226)</f>
        <v>3.3764319849675165E-3</v>
      </c>
      <c r="V226" s="223">
        <f>AVERAGE(U226,T226,S226,Q226)</f>
        <v>3.0234448306827675E-3</v>
      </c>
      <c r="W226" s="38"/>
      <c r="X226" s="223">
        <f>AVERAGE(V226,U226,T226,S226)</f>
        <v>3.5045807636282411E-3</v>
      </c>
      <c r="Y226" s="223">
        <f>AVERAGE(X226,V226,U226,T226)</f>
        <v>3.4626660669554595E-3</v>
      </c>
      <c r="Z226" s="223">
        <f>AVERAGE(Y226,X226,V226,U226)</f>
        <v>3.3417809115584961E-3</v>
      </c>
      <c r="AA226" s="223">
        <f>AVERAGE(Z226,Y226,X226,V226)</f>
        <v>3.3331181432062411E-3</v>
      </c>
      <c r="AB226" s="38"/>
      <c r="AC226" s="223">
        <f>AVERAGE(AA226,Z226,Y226,X226)</f>
        <v>3.4105364713371096E-3</v>
      </c>
      <c r="AD226" s="223">
        <f>AVERAGE(AC226,AA226,Z226,Y226)</f>
        <v>3.3870253982643266E-3</v>
      </c>
      <c r="AE226" s="223">
        <f>AVERAGE(AD226,AC226,AA226,Z226)</f>
        <v>3.3681152310915436E-3</v>
      </c>
      <c r="AF226" s="223">
        <f>AVERAGE(AE226,AD226,AC226,AA226)</f>
        <v>3.3746988109748053E-3</v>
      </c>
      <c r="AG226" s="38"/>
      <c r="AH226" s="223">
        <f>AVERAGE(AF226,AE226,AD226,AC226)</f>
        <v>3.3850939779169458E-3</v>
      </c>
      <c r="AI226" s="223">
        <f>AVERAGE(AH226,AF226,AE226,AD226)</f>
        <v>3.3787333545619051E-3</v>
      </c>
      <c r="AJ226" s="223">
        <f>AVERAGE(AI226,AH226,AF226,AE226)</f>
        <v>3.3766603436363E-3</v>
      </c>
      <c r="AK226" s="223">
        <f>AVERAGE(AJ226,AI226,AH226,AF226)</f>
        <v>3.3787966217724888E-3</v>
      </c>
      <c r="AL226" s="38"/>
      <c r="AM226" s="223">
        <f>AVERAGE(AK226,AJ226,AI226,AH226)</f>
        <v>3.3798210744719098E-3</v>
      </c>
      <c r="AN226" s="223">
        <f>AVERAGE(AM226,AK226,AJ226,AI226)</f>
        <v>3.3785028486106507E-3</v>
      </c>
      <c r="AO226" s="223">
        <f>AVERAGE(AN226,AM226,AK226,AJ226)</f>
        <v>3.3784452221228374E-3</v>
      </c>
      <c r="AP226" s="223">
        <f>AVERAGE(AO226,AN226,AM226,AK226)</f>
        <v>3.3788914417444719E-3</v>
      </c>
      <c r="AQ226" s="38"/>
    </row>
    <row r="227" spans="2:43" outlineLevel="1" x14ac:dyDescent="0.25">
      <c r="B227" s="549" t="s">
        <v>30</v>
      </c>
      <c r="C227" s="550"/>
      <c r="D227" s="235">
        <v>172</v>
      </c>
      <c r="E227" s="235">
        <v>151.76</v>
      </c>
      <c r="F227" s="235">
        <v>140.41999999999999</v>
      </c>
      <c r="G227" s="235">
        <f>+G228/G229</f>
        <v>156.12706154342965</v>
      </c>
      <c r="H227" s="248">
        <v>149.35</v>
      </c>
      <c r="I227" s="235">
        <v>160.18</v>
      </c>
      <c r="J227" s="235">
        <v>172.25</v>
      </c>
      <c r="K227" s="235">
        <v>187.34</v>
      </c>
      <c r="L227" s="235">
        <f>+L228/L229</f>
        <v>189.52244297504288</v>
      </c>
      <c r="M227" s="248">
        <v>172.13</v>
      </c>
      <c r="N227" s="235">
        <v>207.92</v>
      </c>
      <c r="O227" s="235">
        <v>220.67</v>
      </c>
      <c r="P227" s="235">
        <v>248.73</v>
      </c>
      <c r="Q227" s="235">
        <f>+Q228/Q229</f>
        <v>243.60789473684207</v>
      </c>
      <c r="R227" s="248">
        <v>237.45</v>
      </c>
      <c r="S227" s="237">
        <v>240</v>
      </c>
      <c r="T227" s="237">
        <f>+S227</f>
        <v>240</v>
      </c>
      <c r="U227" s="237">
        <f>+T227</f>
        <v>240</v>
      </c>
      <c r="V227" s="237">
        <f>+U227</f>
        <v>240</v>
      </c>
      <c r="W227" s="236"/>
      <c r="X227" s="237">
        <f>+V227</f>
        <v>240</v>
      </c>
      <c r="Y227" s="237">
        <f>+X227</f>
        <v>240</v>
      </c>
      <c r="Z227" s="237">
        <f>+Y227</f>
        <v>240</v>
      </c>
      <c r="AA227" s="237">
        <f>+Z227</f>
        <v>240</v>
      </c>
      <c r="AB227" s="236"/>
      <c r="AC227" s="237">
        <f>+AA227</f>
        <v>240</v>
      </c>
      <c r="AD227" s="237">
        <f>+AC227</f>
        <v>240</v>
      </c>
      <c r="AE227" s="237">
        <f>+AD227</f>
        <v>240</v>
      </c>
      <c r="AF227" s="237">
        <f>+AE227</f>
        <v>240</v>
      </c>
      <c r="AG227" s="236"/>
      <c r="AH227" s="237">
        <f>+AF227</f>
        <v>240</v>
      </c>
      <c r="AI227" s="237">
        <f>+AH227</f>
        <v>240</v>
      </c>
      <c r="AJ227" s="237">
        <f>+AI227</f>
        <v>240</v>
      </c>
      <c r="AK227" s="237">
        <f>+AJ227</f>
        <v>240</v>
      </c>
      <c r="AL227" s="236"/>
      <c r="AM227" s="237">
        <f>+AK227</f>
        <v>240</v>
      </c>
      <c r="AN227" s="237">
        <f>+AM227</f>
        <v>240</v>
      </c>
      <c r="AO227" s="237">
        <f>+AN227</f>
        <v>240</v>
      </c>
      <c r="AP227" s="237">
        <f>+AO227</f>
        <v>240</v>
      </c>
      <c r="AQ227" s="19"/>
    </row>
    <row r="228" spans="2:43" outlineLevel="1" x14ac:dyDescent="0.25">
      <c r="B228" s="549" t="s">
        <v>31</v>
      </c>
      <c r="C228" s="550"/>
      <c r="D228" s="77">
        <v>190</v>
      </c>
      <c r="E228" s="77">
        <v>911</v>
      </c>
      <c r="F228" s="77">
        <v>1025.0659999999998</v>
      </c>
      <c r="G228" s="77">
        <f>+H228-F228-E228-D228</f>
        <v>592.10399999999981</v>
      </c>
      <c r="H228" s="89">
        <f>+H227*H229</f>
        <v>2718.1699999999996</v>
      </c>
      <c r="I228" s="77">
        <v>222</v>
      </c>
      <c r="J228" s="77">
        <v>112</v>
      </c>
      <c r="K228" s="77">
        <v>24</v>
      </c>
      <c r="L228" s="77">
        <f>+M228-K228-J228-I228</f>
        <v>158.38999999999999</v>
      </c>
      <c r="M228" s="89">
        <f>+M227*M229</f>
        <v>516.39</v>
      </c>
      <c r="N228" s="77">
        <f>+N227*N229</f>
        <v>83.168000000000006</v>
      </c>
      <c r="O228" s="77">
        <f>+O227*O229</f>
        <v>176.536</v>
      </c>
      <c r="P228" s="77">
        <f>+P227*P229</f>
        <v>298.476</v>
      </c>
      <c r="Q228" s="77">
        <f>+R228-P228-O228-N228</f>
        <v>462.8549999999999</v>
      </c>
      <c r="R228" s="89">
        <f>+R227*R229</f>
        <v>1021.0349999999999</v>
      </c>
      <c r="S228" s="221">
        <f>AVERAGE(Q228,P228,O228,N228)</f>
        <v>255.25874999999999</v>
      </c>
      <c r="T228" s="221">
        <f>AVERAGE(S228,Q228,P228,O228)</f>
        <v>298.28143749999998</v>
      </c>
      <c r="U228" s="221">
        <f>AVERAGE(T228,S228,Q228,P228)</f>
        <v>328.71779687499998</v>
      </c>
      <c r="V228" s="221">
        <f>AVERAGE(U228,T228,S228,Q228)</f>
        <v>336.27824609375</v>
      </c>
      <c r="W228" s="87">
        <f>+SUM(S228:V228)</f>
        <v>1218.5362304687501</v>
      </c>
      <c r="X228" s="221">
        <f>AVERAGE(V228,U228,T228,S228)</f>
        <v>304.63405761718747</v>
      </c>
      <c r="Y228" s="221">
        <f>AVERAGE(X228,V228,U228,T228)</f>
        <v>316.97788452148438</v>
      </c>
      <c r="Z228" s="221">
        <f>AVERAGE(Y228,X228,V228,U228)</f>
        <v>321.65199627685547</v>
      </c>
      <c r="AA228" s="221">
        <f>AVERAGE(Z228,Y228,X228,V228)</f>
        <v>319.88554612731934</v>
      </c>
      <c r="AB228" s="87">
        <f>+SUM(X228:AA228)</f>
        <v>1263.1494845428465</v>
      </c>
      <c r="AC228" s="221">
        <f>AVERAGE(AA228,Z228,Y228,X228)</f>
        <v>315.78737113571168</v>
      </c>
      <c r="AD228" s="221">
        <f>AVERAGE(AC228,AA228,Z228,Y228)</f>
        <v>318.57569951534271</v>
      </c>
      <c r="AE228" s="221">
        <f>AVERAGE(AD228,AC228,AA228,Z228)</f>
        <v>318.97515326380733</v>
      </c>
      <c r="AF228" s="221">
        <f>AVERAGE(AE228,AD228,AC228,AA228)</f>
        <v>318.30594251054526</v>
      </c>
      <c r="AG228" s="87">
        <f>+SUM(AC228:AF228)</f>
        <v>1271.6441664254071</v>
      </c>
      <c r="AH228" s="221">
        <f>AVERAGE(AF228,AE228,AD228,AC228)</f>
        <v>317.91104160635177</v>
      </c>
      <c r="AI228" s="221">
        <f>AVERAGE(AH228,AF228,AE228,AD228)</f>
        <v>318.44195922401178</v>
      </c>
      <c r="AJ228" s="221">
        <f>AVERAGE(AI228,AH228,AF228,AE228)</f>
        <v>318.40852415117899</v>
      </c>
      <c r="AK228" s="221">
        <f>AVERAGE(AJ228,AI228,AH228,AF228)</f>
        <v>318.26686687302197</v>
      </c>
      <c r="AL228" s="87">
        <f>+SUM(AH228:AK228)</f>
        <v>1273.0283918545645</v>
      </c>
      <c r="AM228" s="221">
        <f>AVERAGE(AK228,AJ228,AI228,AH228)</f>
        <v>318.25709796364112</v>
      </c>
      <c r="AN228" s="221">
        <f>AVERAGE(AM228,AK228,AJ228,AI228)</f>
        <v>318.34361205296346</v>
      </c>
      <c r="AO228" s="221">
        <f>AVERAGE(AN228,AM228,AK228,AJ228)</f>
        <v>318.31902526020139</v>
      </c>
      <c r="AP228" s="221">
        <f>AVERAGE(AO228,AN228,AM228,AK228)</f>
        <v>318.29665053745703</v>
      </c>
      <c r="AQ228" s="87">
        <f>+SUM(AM228:AP228)</f>
        <v>1273.216385814263</v>
      </c>
    </row>
    <row r="229" spans="2:43" outlineLevel="1" x14ac:dyDescent="0.25">
      <c r="B229" s="547" t="s">
        <v>58</v>
      </c>
      <c r="C229" s="548"/>
      <c r="D229" s="249">
        <f>IF((D228)&gt;0,(D228/D227),0)</f>
        <v>1.1046511627906976</v>
      </c>
      <c r="E229" s="249">
        <f>IF((E228)&gt;0,(E228/E227),0)</f>
        <v>6.0028993147074328</v>
      </c>
      <c r="F229" s="249">
        <f>IF((F228)&gt;0,(F228/F227),0)</f>
        <v>7.2999999999999989</v>
      </c>
      <c r="G229" s="249">
        <f>+H229-F229-E229-D229</f>
        <v>3.7924495225018697</v>
      </c>
      <c r="H229" s="250">
        <v>18.2</v>
      </c>
      <c r="I229" s="249">
        <f>IF((I228)&gt;0,(I228/I227),0)</f>
        <v>1.3859408165813458</v>
      </c>
      <c r="J229" s="249">
        <f>IF((J228)&gt;0,(J228/J227),0)</f>
        <v>0.65021770682148039</v>
      </c>
      <c r="K229" s="249">
        <f>IF((K228)&gt;0,(K228/K227),0)</f>
        <v>0.12810931995302657</v>
      </c>
      <c r="L229" s="249">
        <f>+M229-K229-J229-I229</f>
        <v>0.83573215664414713</v>
      </c>
      <c r="M229" s="250">
        <v>3</v>
      </c>
      <c r="N229" s="249">
        <v>0.4</v>
      </c>
      <c r="O229" s="249">
        <v>0.8</v>
      </c>
      <c r="P229" s="249">
        <v>1.2</v>
      </c>
      <c r="Q229" s="249">
        <f>+R229-P229-O229-N229</f>
        <v>1.9</v>
      </c>
      <c r="R229" s="250">
        <v>4.3</v>
      </c>
      <c r="S229" s="249">
        <f>IF((S228)&gt;0,(S228/S227),0)</f>
        <v>1.063578125</v>
      </c>
      <c r="T229" s="249">
        <f>IF((T228)&gt;0,(T228/T227),0)</f>
        <v>1.2428393229166665</v>
      </c>
      <c r="U229" s="249">
        <f>IF((U228)&gt;0,(U228/U227),0)</f>
        <v>1.3696574869791667</v>
      </c>
      <c r="V229" s="249">
        <f>IF((V228)&gt;0,(V228/V227),0)</f>
        <v>1.4011593587239584</v>
      </c>
      <c r="W229" s="449">
        <f>+SUM(S229:V229)</f>
        <v>5.0772342936197923</v>
      </c>
      <c r="X229" s="249">
        <f>IF((X228)&gt;0,(X228/X227),0)</f>
        <v>1.2693085734049478</v>
      </c>
      <c r="Y229" s="249">
        <f>IF((Y228)&gt;0,(Y228/Y227),0)</f>
        <v>1.320741185506185</v>
      </c>
      <c r="Z229" s="249">
        <f>IF((Z228)&gt;0,(Z228/Z227),0)</f>
        <v>1.3402166511535645</v>
      </c>
      <c r="AA229" s="249">
        <f>IF((AA228)&gt;0,(AA228/AA227),0)</f>
        <v>1.332856442197164</v>
      </c>
      <c r="AB229" s="449">
        <f>+SUM(X229:AA229)</f>
        <v>5.2631228522618612</v>
      </c>
      <c r="AC229" s="249">
        <f>IF((AC228)&gt;0,(AC228/AC227),0)</f>
        <v>1.3157807130654653</v>
      </c>
      <c r="AD229" s="249">
        <f>IF((AD228)&gt;0,(AD228/AD227),0)</f>
        <v>1.3273987479805947</v>
      </c>
      <c r="AE229" s="249">
        <f>IF((AE228)&gt;0,(AE228/AE227),0)</f>
        <v>1.3290631385991971</v>
      </c>
      <c r="AF229" s="249">
        <f>IF((AF228)&gt;0,(AF228/AF227),0)</f>
        <v>1.3262747604606053</v>
      </c>
      <c r="AG229" s="449">
        <f>+SUM(AC229:AF229)</f>
        <v>5.2985173601058619</v>
      </c>
      <c r="AH229" s="249">
        <f>IF((AH228)&gt;0,(AH228/AH227),0)</f>
        <v>1.3246293400264657</v>
      </c>
      <c r="AI229" s="249">
        <f>IF((AI228)&gt;0,(AI228/AI227),0)</f>
        <v>1.3268414967667157</v>
      </c>
      <c r="AJ229" s="249">
        <f>IF((AJ228)&gt;0,(AJ228/AJ227),0)</f>
        <v>1.3267021839632458</v>
      </c>
      <c r="AK229" s="249">
        <f>IF((AK228)&gt;0,(AK228/AK227),0)</f>
        <v>1.3261119453042582</v>
      </c>
      <c r="AL229" s="449">
        <f>+SUM(AH229:AK229)</f>
        <v>5.3042849660606848</v>
      </c>
      <c r="AM229" s="249">
        <f>IF((AM228)&gt;0,(AM228/AM227),0)</f>
        <v>1.3260712415151714</v>
      </c>
      <c r="AN229" s="249">
        <f>IF((AN228)&gt;0,(AN228/AN227),0)</f>
        <v>1.3264317168873478</v>
      </c>
      <c r="AO229" s="249">
        <f>IF((AO228)&gt;0,(AO228/AO227),0)</f>
        <v>1.3263292719175057</v>
      </c>
      <c r="AP229" s="249">
        <f>IF((AP228)&gt;0,(AP228/AP227),0)</f>
        <v>1.326236043906071</v>
      </c>
      <c r="AQ229" s="449">
        <f>+SUM(AM229:AP229)</f>
        <v>5.3050682742260964</v>
      </c>
    </row>
    <row r="230" spans="2:43" ht="15.75" x14ac:dyDescent="0.25">
      <c r="B230" s="532" t="s">
        <v>314</v>
      </c>
      <c r="C230" s="540"/>
      <c r="D230" s="67" t="s">
        <v>52</v>
      </c>
      <c r="E230" s="67" t="s">
        <v>55</v>
      </c>
      <c r="F230" s="67" t="s">
        <v>56</v>
      </c>
      <c r="G230" s="67" t="s">
        <v>60</v>
      </c>
      <c r="H230" s="403" t="s">
        <v>61</v>
      </c>
      <c r="I230" s="67" t="s">
        <v>62</v>
      </c>
      <c r="J230" s="67" t="s">
        <v>73</v>
      </c>
      <c r="K230" s="67" t="s">
        <v>77</v>
      </c>
      <c r="L230" s="67" t="s">
        <v>81</v>
      </c>
      <c r="M230" s="403" t="s">
        <v>82</v>
      </c>
      <c r="N230" s="67" t="s">
        <v>83</v>
      </c>
      <c r="O230" s="67" t="s">
        <v>84</v>
      </c>
      <c r="P230" s="67" t="s">
        <v>85</v>
      </c>
      <c r="Q230" s="67" t="s">
        <v>86</v>
      </c>
      <c r="R230" s="403" t="s">
        <v>87</v>
      </c>
      <c r="S230" s="69" t="s">
        <v>344</v>
      </c>
      <c r="T230" s="69" t="s">
        <v>345</v>
      </c>
      <c r="U230" s="69" t="s">
        <v>346</v>
      </c>
      <c r="V230" s="69" t="s">
        <v>347</v>
      </c>
      <c r="W230" s="407" t="s">
        <v>348</v>
      </c>
      <c r="X230" s="69" t="s">
        <v>349</v>
      </c>
      <c r="Y230" s="69" t="s">
        <v>350</v>
      </c>
      <c r="Z230" s="69" t="s">
        <v>351</v>
      </c>
      <c r="AA230" s="69" t="s">
        <v>352</v>
      </c>
      <c r="AB230" s="407" t="s">
        <v>353</v>
      </c>
      <c r="AC230" s="69" t="s">
        <v>354</v>
      </c>
      <c r="AD230" s="69" t="s">
        <v>355</v>
      </c>
      <c r="AE230" s="69" t="s">
        <v>356</v>
      </c>
      <c r="AF230" s="69" t="s">
        <v>357</v>
      </c>
      <c r="AG230" s="407" t="s">
        <v>358</v>
      </c>
      <c r="AH230" s="69" t="s">
        <v>359</v>
      </c>
      <c r="AI230" s="69" t="s">
        <v>360</v>
      </c>
      <c r="AJ230" s="69" t="s">
        <v>361</v>
      </c>
      <c r="AK230" s="69" t="s">
        <v>362</v>
      </c>
      <c r="AL230" s="407" t="s">
        <v>363</v>
      </c>
      <c r="AM230" s="69" t="s">
        <v>364</v>
      </c>
      <c r="AN230" s="69" t="s">
        <v>365</v>
      </c>
      <c r="AO230" s="69" t="s">
        <v>366</v>
      </c>
      <c r="AP230" s="69" t="s">
        <v>367</v>
      </c>
      <c r="AQ230" s="407" t="s">
        <v>368</v>
      </c>
    </row>
    <row r="231" spans="2:43" outlineLevel="1" x14ac:dyDescent="0.25">
      <c r="B231" s="549" t="s">
        <v>315</v>
      </c>
      <c r="C231" s="550"/>
      <c r="D231" s="77"/>
      <c r="E231" s="77"/>
      <c r="F231" s="77"/>
      <c r="G231" s="77"/>
      <c r="H231" s="89"/>
      <c r="I231" s="77"/>
      <c r="J231" s="77"/>
      <c r="K231" s="77"/>
      <c r="L231" s="77">
        <v>0</v>
      </c>
      <c r="M231" s="89">
        <v>0</v>
      </c>
      <c r="N231" s="77">
        <v>0</v>
      </c>
      <c r="O231" s="77">
        <v>0</v>
      </c>
      <c r="P231" s="77">
        <v>0</v>
      </c>
      <c r="Q231" s="77">
        <v>380</v>
      </c>
      <c r="R231" s="89">
        <v>380</v>
      </c>
      <c r="S231" s="221"/>
      <c r="T231" s="221"/>
      <c r="U231" s="221"/>
      <c r="V231" s="221"/>
      <c r="W231" s="89">
        <f t="shared" ref="W231:W239" si="36">SUM(S231:V231)</f>
        <v>0</v>
      </c>
      <c r="X231" s="221"/>
      <c r="Y231" s="221"/>
      <c r="Z231" s="221"/>
      <c r="AA231" s="221"/>
      <c r="AB231" s="89">
        <f t="shared" ref="AB231:AB239" si="37">SUM(X231:AA231)</f>
        <v>0</v>
      </c>
      <c r="AC231" s="221">
        <v>0</v>
      </c>
      <c r="AD231" s="221">
        <v>0</v>
      </c>
      <c r="AE231" s="221">
        <v>0</v>
      </c>
      <c r="AF231" s="221">
        <v>0</v>
      </c>
      <c r="AG231" s="89">
        <f t="shared" ref="AG231:AG239" si="38">SUM(AC231:AF231)</f>
        <v>0</v>
      </c>
      <c r="AH231" s="221">
        <v>0</v>
      </c>
      <c r="AI231" s="221">
        <v>0</v>
      </c>
      <c r="AJ231" s="221">
        <v>0</v>
      </c>
      <c r="AK231" s="221">
        <v>0</v>
      </c>
      <c r="AL231" s="89">
        <f t="shared" ref="AL231:AL239" si="39">SUM(AH231:AK231)</f>
        <v>0</v>
      </c>
      <c r="AM231" s="221">
        <v>0</v>
      </c>
      <c r="AN231" s="221">
        <v>0</v>
      </c>
      <c r="AO231" s="221">
        <v>0</v>
      </c>
      <c r="AP231" s="221">
        <v>0</v>
      </c>
      <c r="AQ231" s="89">
        <f t="shared" ref="AQ231:AQ239" si="40">SUM(AM231:AP231)</f>
        <v>0</v>
      </c>
    </row>
    <row r="232" spans="2:43" outlineLevel="1" x14ac:dyDescent="0.25">
      <c r="B232" s="549" t="s">
        <v>316</v>
      </c>
      <c r="C232" s="550"/>
      <c r="D232" s="77"/>
      <c r="E232" s="77"/>
      <c r="F232" s="77"/>
      <c r="G232" s="77"/>
      <c r="H232" s="89"/>
      <c r="I232" s="77"/>
      <c r="J232" s="77"/>
      <c r="K232" s="77"/>
      <c r="L232" s="77">
        <v>0</v>
      </c>
      <c r="M232" s="89">
        <v>0</v>
      </c>
      <c r="N232" s="77">
        <v>0</v>
      </c>
      <c r="O232" s="77">
        <v>0</v>
      </c>
      <c r="P232" s="77">
        <v>0</v>
      </c>
      <c r="Q232" s="77">
        <v>1</v>
      </c>
      <c r="R232" s="89">
        <v>1</v>
      </c>
      <c r="S232" s="77"/>
      <c r="T232" s="77"/>
      <c r="U232" s="77"/>
      <c r="V232" s="77"/>
      <c r="W232" s="89">
        <f t="shared" si="36"/>
        <v>0</v>
      </c>
      <c r="X232" s="77"/>
      <c r="Y232" s="77"/>
      <c r="Z232" s="77"/>
      <c r="AA232" s="77"/>
      <c r="AB232" s="89">
        <f t="shared" si="37"/>
        <v>0</v>
      </c>
      <c r="AC232" s="77">
        <f>+AC231*AC221</f>
        <v>0</v>
      </c>
      <c r="AD232" s="77">
        <f>+AD231*AD221</f>
        <v>0</v>
      </c>
      <c r="AE232" s="77">
        <f>+AE231*AE221</f>
        <v>0</v>
      </c>
      <c r="AF232" s="77">
        <f>+AF231*AF221</f>
        <v>0</v>
      </c>
      <c r="AG232" s="89">
        <f t="shared" si="38"/>
        <v>0</v>
      </c>
      <c r="AH232" s="77">
        <f>+AH231*AH221</f>
        <v>0</v>
      </c>
      <c r="AI232" s="77">
        <f>+AI231*AI221</f>
        <v>0</v>
      </c>
      <c r="AJ232" s="77">
        <f>+AJ231*AJ221</f>
        <v>0</v>
      </c>
      <c r="AK232" s="77">
        <f>+AK231*AK221</f>
        <v>0</v>
      </c>
      <c r="AL232" s="89">
        <f t="shared" si="39"/>
        <v>0</v>
      </c>
      <c r="AM232" s="77">
        <f>+AM231*AM221</f>
        <v>0</v>
      </c>
      <c r="AN232" s="77">
        <f>+AN231*AN221</f>
        <v>0</v>
      </c>
      <c r="AO232" s="77">
        <f>+AO231*AO221</f>
        <v>0</v>
      </c>
      <c r="AP232" s="77">
        <f>+AP231*AP221</f>
        <v>0</v>
      </c>
      <c r="AQ232" s="89">
        <f t="shared" si="40"/>
        <v>0</v>
      </c>
    </row>
    <row r="233" spans="2:43" outlineLevel="1" x14ac:dyDescent="0.25">
      <c r="B233" s="292" t="s">
        <v>317</v>
      </c>
      <c r="C233" s="293"/>
      <c r="D233" s="77"/>
      <c r="E233" s="77"/>
      <c r="F233" s="77"/>
      <c r="G233" s="77"/>
      <c r="H233" s="89"/>
      <c r="I233" s="77">
        <v>67.5</v>
      </c>
      <c r="J233" s="77">
        <v>57.5</v>
      </c>
      <c r="K233" s="77">
        <v>78</v>
      </c>
      <c r="L233" s="77">
        <v>124</v>
      </c>
      <c r="M233" s="89">
        <v>327</v>
      </c>
      <c r="N233" s="77">
        <v>112</v>
      </c>
      <c r="O233" s="77">
        <v>122</v>
      </c>
      <c r="P233" s="77">
        <v>106</v>
      </c>
      <c r="Q233" s="77">
        <v>136</v>
      </c>
      <c r="R233" s="89">
        <v>477</v>
      </c>
      <c r="S233" s="221"/>
      <c r="T233" s="221"/>
      <c r="U233" s="221"/>
      <c r="V233" s="221"/>
      <c r="W233" s="89">
        <f t="shared" si="36"/>
        <v>0</v>
      </c>
      <c r="X233" s="221"/>
      <c r="Y233" s="221"/>
      <c r="Z233" s="221"/>
      <c r="AA233" s="221"/>
      <c r="AB233" s="89">
        <f t="shared" si="37"/>
        <v>0</v>
      </c>
      <c r="AC233" s="221">
        <v>0</v>
      </c>
      <c r="AD233" s="221">
        <v>0</v>
      </c>
      <c r="AE233" s="221">
        <v>0</v>
      </c>
      <c r="AF233" s="221">
        <v>0</v>
      </c>
      <c r="AG233" s="89">
        <f t="shared" si="38"/>
        <v>0</v>
      </c>
      <c r="AH233" s="221">
        <v>0</v>
      </c>
      <c r="AI233" s="221">
        <v>0</v>
      </c>
      <c r="AJ233" s="221">
        <v>0</v>
      </c>
      <c r="AK233" s="221">
        <v>0</v>
      </c>
      <c r="AL233" s="89">
        <f t="shared" si="39"/>
        <v>0</v>
      </c>
      <c r="AM233" s="221">
        <v>0</v>
      </c>
      <c r="AN233" s="221">
        <v>0</v>
      </c>
      <c r="AO233" s="221">
        <v>0</v>
      </c>
      <c r="AP233" s="221">
        <v>0</v>
      </c>
      <c r="AQ233" s="89">
        <f t="shared" si="40"/>
        <v>0</v>
      </c>
    </row>
    <row r="234" spans="2:43" outlineLevel="1" x14ac:dyDescent="0.25">
      <c r="B234" s="292" t="s">
        <v>318</v>
      </c>
      <c r="C234" s="293"/>
      <c r="D234" s="77"/>
      <c r="E234" s="77"/>
      <c r="F234" s="77"/>
      <c r="G234" s="77"/>
      <c r="H234" s="89"/>
      <c r="I234" s="77">
        <v>22.5</v>
      </c>
      <c r="J234" s="77">
        <v>7.5</v>
      </c>
      <c r="K234" s="77">
        <v>15</v>
      </c>
      <c r="L234" s="77">
        <v>37</v>
      </c>
      <c r="M234" s="89">
        <v>82</v>
      </c>
      <c r="N234" s="77">
        <v>30</v>
      </c>
      <c r="O234" s="77">
        <v>31</v>
      </c>
      <c r="P234" s="77">
        <v>14</v>
      </c>
      <c r="Q234" s="77">
        <v>30</v>
      </c>
      <c r="R234" s="89">
        <v>105</v>
      </c>
      <c r="S234" s="77"/>
      <c r="T234" s="77"/>
      <c r="U234" s="77"/>
      <c r="V234" s="77"/>
      <c r="W234" s="89">
        <f t="shared" si="36"/>
        <v>0</v>
      </c>
      <c r="X234" s="77"/>
      <c r="Y234" s="77"/>
      <c r="Z234" s="77"/>
      <c r="AA234" s="77"/>
      <c r="AB234" s="89">
        <f t="shared" si="37"/>
        <v>0</v>
      </c>
      <c r="AC234" s="77">
        <f>+AC233*AC221</f>
        <v>0</v>
      </c>
      <c r="AD234" s="77">
        <f>+AD233*AD221</f>
        <v>0</v>
      </c>
      <c r="AE234" s="77">
        <f>+AE233*AE221</f>
        <v>0</v>
      </c>
      <c r="AF234" s="77">
        <f>+AF233*AF221</f>
        <v>0</v>
      </c>
      <c r="AG234" s="89">
        <f t="shared" si="38"/>
        <v>0</v>
      </c>
      <c r="AH234" s="77">
        <f>+AH233*AH221</f>
        <v>0</v>
      </c>
      <c r="AI234" s="77">
        <f>+AI233*AI221</f>
        <v>0</v>
      </c>
      <c r="AJ234" s="77">
        <f>+AJ233*AJ221</f>
        <v>0</v>
      </c>
      <c r="AK234" s="77">
        <f>+AK233*AK221</f>
        <v>0</v>
      </c>
      <c r="AL234" s="89">
        <f t="shared" si="39"/>
        <v>0</v>
      </c>
      <c r="AM234" s="77">
        <f>+AM233*AM221</f>
        <v>0</v>
      </c>
      <c r="AN234" s="77">
        <f>+AN233*AN221</f>
        <v>0</v>
      </c>
      <c r="AO234" s="77">
        <f>+AO233*AO221</f>
        <v>0</v>
      </c>
      <c r="AP234" s="77">
        <f>+AP233*AP221</f>
        <v>0</v>
      </c>
      <c r="AQ234" s="89">
        <f t="shared" si="40"/>
        <v>0</v>
      </c>
    </row>
    <row r="235" spans="2:43" outlineLevel="1" x14ac:dyDescent="0.25">
      <c r="B235" s="292" t="s">
        <v>322</v>
      </c>
      <c r="C235" s="293"/>
      <c r="D235" s="77"/>
      <c r="E235" s="77"/>
      <c r="F235" s="77"/>
      <c r="G235" s="77"/>
      <c r="H235" s="89"/>
      <c r="I235" s="77"/>
      <c r="J235" s="77"/>
      <c r="K235" s="77"/>
      <c r="L235" s="77">
        <f>39+22</f>
        <v>61</v>
      </c>
      <c r="M235" s="89">
        <f>39+22</f>
        <v>61</v>
      </c>
      <c r="N235" s="77">
        <v>7</v>
      </c>
      <c r="O235" s="77">
        <v>0</v>
      </c>
      <c r="P235" s="77">
        <v>0</v>
      </c>
      <c r="Q235" s="77">
        <v>1</v>
      </c>
      <c r="R235" s="89">
        <v>8</v>
      </c>
      <c r="S235" s="221"/>
      <c r="T235" s="221"/>
      <c r="U235" s="221"/>
      <c r="V235" s="221"/>
      <c r="W235" s="89">
        <f t="shared" si="36"/>
        <v>0</v>
      </c>
      <c r="X235" s="221"/>
      <c r="Y235" s="221"/>
      <c r="Z235" s="221"/>
      <c r="AA235" s="221"/>
      <c r="AB235" s="89">
        <f t="shared" si="37"/>
        <v>0</v>
      </c>
      <c r="AC235" s="221">
        <v>0</v>
      </c>
      <c r="AD235" s="221">
        <v>0</v>
      </c>
      <c r="AE235" s="221">
        <v>0</v>
      </c>
      <c r="AF235" s="221">
        <v>0</v>
      </c>
      <c r="AG235" s="89">
        <f t="shared" si="38"/>
        <v>0</v>
      </c>
      <c r="AH235" s="221">
        <v>0</v>
      </c>
      <c r="AI235" s="221">
        <v>0</v>
      </c>
      <c r="AJ235" s="221">
        <v>0</v>
      </c>
      <c r="AK235" s="221">
        <v>0</v>
      </c>
      <c r="AL235" s="89">
        <f t="shared" si="39"/>
        <v>0</v>
      </c>
      <c r="AM235" s="221">
        <v>0</v>
      </c>
      <c r="AN235" s="221">
        <v>0</v>
      </c>
      <c r="AO235" s="221">
        <v>0</v>
      </c>
      <c r="AP235" s="221">
        <v>0</v>
      </c>
      <c r="AQ235" s="89">
        <f t="shared" si="40"/>
        <v>0</v>
      </c>
    </row>
    <row r="236" spans="2:43" outlineLevel="1" x14ac:dyDescent="0.25">
      <c r="B236" s="292" t="s">
        <v>323</v>
      </c>
      <c r="C236" s="293"/>
      <c r="D236" s="77"/>
      <c r="E236" s="77"/>
      <c r="F236" s="77"/>
      <c r="G236" s="77"/>
      <c r="H236" s="89"/>
      <c r="I236" s="77"/>
      <c r="J236" s="77"/>
      <c r="K236" s="77"/>
      <c r="L236" s="77">
        <f>15+9</f>
        <v>24</v>
      </c>
      <c r="M236" s="89">
        <f>15+9</f>
        <v>24</v>
      </c>
      <c r="N236" s="77">
        <v>2</v>
      </c>
      <c r="O236" s="77">
        <v>0</v>
      </c>
      <c r="P236" s="77">
        <v>0</v>
      </c>
      <c r="Q236" s="77">
        <v>-0.5</v>
      </c>
      <c r="R236" s="89">
        <v>2</v>
      </c>
      <c r="S236" s="77"/>
      <c r="T236" s="77"/>
      <c r="U236" s="77"/>
      <c r="V236" s="77"/>
      <c r="W236" s="89">
        <f t="shared" si="36"/>
        <v>0</v>
      </c>
      <c r="X236" s="77"/>
      <c r="Y236" s="77"/>
      <c r="Z236" s="77"/>
      <c r="AA236" s="77"/>
      <c r="AB236" s="89">
        <f t="shared" si="37"/>
        <v>0</v>
      </c>
      <c r="AC236" s="77">
        <f>+AC235*AC221</f>
        <v>0</v>
      </c>
      <c r="AD236" s="77">
        <f>+AD235*AD221</f>
        <v>0</v>
      </c>
      <c r="AE236" s="77">
        <f>+AE235*AE221</f>
        <v>0</v>
      </c>
      <c r="AF236" s="77">
        <f>+AF235*AF221</f>
        <v>0</v>
      </c>
      <c r="AG236" s="89">
        <f t="shared" si="38"/>
        <v>0</v>
      </c>
      <c r="AH236" s="77">
        <f>+AH235*AH221</f>
        <v>0</v>
      </c>
      <c r="AI236" s="77">
        <f>+AI235*AI221</f>
        <v>0</v>
      </c>
      <c r="AJ236" s="77">
        <f>+AJ235*AJ221</f>
        <v>0</v>
      </c>
      <c r="AK236" s="77">
        <f>+AK235*AK221</f>
        <v>0</v>
      </c>
      <c r="AL236" s="89">
        <f t="shared" si="39"/>
        <v>0</v>
      </c>
      <c r="AM236" s="77">
        <f>+AM235*AM221</f>
        <v>0</v>
      </c>
      <c r="AN236" s="77">
        <f>+AN235*AN221</f>
        <v>0</v>
      </c>
      <c r="AO236" s="77">
        <f>+AO235*AO221</f>
        <v>0</v>
      </c>
      <c r="AP236" s="77">
        <f>+AP235*AP221</f>
        <v>0</v>
      </c>
      <c r="AQ236" s="89">
        <f t="shared" si="40"/>
        <v>0</v>
      </c>
    </row>
    <row r="237" spans="2:43" outlineLevel="1" x14ac:dyDescent="0.25">
      <c r="B237" s="292" t="s">
        <v>319</v>
      </c>
      <c r="C237" s="293"/>
      <c r="D237" s="77"/>
      <c r="E237" s="77"/>
      <c r="F237" s="77"/>
      <c r="G237" s="77"/>
      <c r="H237" s="89"/>
      <c r="I237" s="77"/>
      <c r="J237" s="77"/>
      <c r="K237" s="77"/>
      <c r="L237" s="77">
        <v>-24</v>
      </c>
      <c r="M237" s="89">
        <v>-24</v>
      </c>
      <c r="N237" s="77">
        <v>0</v>
      </c>
      <c r="O237" s="77">
        <v>0</v>
      </c>
      <c r="P237" s="77">
        <v>0</v>
      </c>
      <c r="Q237" s="77">
        <v>-10</v>
      </c>
      <c r="R237" s="89">
        <v>-10</v>
      </c>
      <c r="S237" s="221">
        <v>0</v>
      </c>
      <c r="T237" s="221">
        <v>0</v>
      </c>
      <c r="U237" s="221">
        <v>0</v>
      </c>
      <c r="V237" s="221">
        <f>+V205</f>
        <v>-227.23050661764719</v>
      </c>
      <c r="W237" s="89">
        <f t="shared" si="36"/>
        <v>-227.23050661764719</v>
      </c>
      <c r="X237" s="221">
        <v>0</v>
      </c>
      <c r="Y237" s="221">
        <v>0</v>
      </c>
      <c r="Z237" s="221">
        <v>0</v>
      </c>
      <c r="AA237" s="221">
        <f>+AA205</f>
        <v>-99.999999999999943</v>
      </c>
      <c r="AB237" s="89">
        <f t="shared" si="37"/>
        <v>-99.999999999999943</v>
      </c>
      <c r="AC237" s="221">
        <v>0</v>
      </c>
      <c r="AD237" s="221">
        <v>0</v>
      </c>
      <c r="AE237" s="221">
        <v>0</v>
      </c>
      <c r="AF237" s="221">
        <f>+AF205</f>
        <v>-55.00000000000005</v>
      </c>
      <c r="AG237" s="89">
        <f t="shared" si="38"/>
        <v>-55.00000000000005</v>
      </c>
      <c r="AH237" s="221">
        <v>0</v>
      </c>
      <c r="AI237" s="221">
        <v>0</v>
      </c>
      <c r="AJ237" s="221">
        <v>0</v>
      </c>
      <c r="AK237" s="221">
        <f>+AK205</f>
        <v>-55.00000000000005</v>
      </c>
      <c r="AL237" s="89">
        <f t="shared" si="39"/>
        <v>-55.00000000000005</v>
      </c>
      <c r="AM237" s="221">
        <v>0</v>
      </c>
      <c r="AN237" s="221">
        <v>0</v>
      </c>
      <c r="AO237" s="221">
        <v>0</v>
      </c>
      <c r="AP237" s="221">
        <f>+AP205</f>
        <v>-55.00000000000005</v>
      </c>
      <c r="AQ237" s="89">
        <f t="shared" si="40"/>
        <v>-55.00000000000005</v>
      </c>
    </row>
    <row r="238" spans="2:43" outlineLevel="1" x14ac:dyDescent="0.25">
      <c r="B238" s="292" t="s">
        <v>320</v>
      </c>
      <c r="C238" s="293"/>
      <c r="D238" s="77"/>
      <c r="E238" s="77"/>
      <c r="F238" s="77"/>
      <c r="G238" s="77"/>
      <c r="H238" s="89"/>
      <c r="I238" s="77"/>
      <c r="J238" s="77"/>
      <c r="K238" s="77"/>
      <c r="L238" s="77">
        <v>-18</v>
      </c>
      <c r="M238" s="89">
        <v>-18</v>
      </c>
      <c r="N238" s="77">
        <v>0</v>
      </c>
      <c r="O238" s="77">
        <v>0</v>
      </c>
      <c r="P238" s="77">
        <v>0</v>
      </c>
      <c r="Q238" s="77">
        <v>-0.5</v>
      </c>
      <c r="R238" s="89">
        <v>-1</v>
      </c>
      <c r="S238" s="77">
        <f>+S237*S221</f>
        <v>0</v>
      </c>
      <c r="T238" s="77">
        <f>+T237*T221</f>
        <v>0</v>
      </c>
      <c r="U238" s="77">
        <f>+U237*U221</f>
        <v>0</v>
      </c>
      <c r="V238" s="77">
        <f>+V237*V221</f>
        <v>-56.807626654411798</v>
      </c>
      <c r="W238" s="89">
        <f t="shared" si="36"/>
        <v>-56.807626654411798</v>
      </c>
      <c r="X238" s="77">
        <f>+X237*X221</f>
        <v>0</v>
      </c>
      <c r="Y238" s="77">
        <f>+Y237*Y221</f>
        <v>0</v>
      </c>
      <c r="Z238" s="77">
        <f>+Z237*Z221</f>
        <v>0</v>
      </c>
      <c r="AA238" s="77">
        <f>+AA237*AA221</f>
        <v>-24.999999999999986</v>
      </c>
      <c r="AB238" s="89">
        <f t="shared" si="37"/>
        <v>-24.999999999999986</v>
      </c>
      <c r="AC238" s="77">
        <f>+AC237*AC221</f>
        <v>0</v>
      </c>
      <c r="AD238" s="77">
        <f>+AD237*AD221</f>
        <v>0</v>
      </c>
      <c r="AE238" s="77">
        <f>+AE237*AE221</f>
        <v>0</v>
      </c>
      <c r="AF238" s="77">
        <f>+AF237*AF221</f>
        <v>-13.750000000000012</v>
      </c>
      <c r="AG238" s="89">
        <f t="shared" si="38"/>
        <v>-13.750000000000012</v>
      </c>
      <c r="AH238" s="77">
        <f>+AH237*AH221</f>
        <v>0</v>
      </c>
      <c r="AI238" s="77">
        <f>+AI237*AI221</f>
        <v>0</v>
      </c>
      <c r="AJ238" s="77">
        <f>+AJ237*AJ221</f>
        <v>0</v>
      </c>
      <c r="AK238" s="77">
        <f>+AK237*AK221</f>
        <v>-13.750000000000012</v>
      </c>
      <c r="AL238" s="89">
        <f t="shared" si="39"/>
        <v>-13.750000000000012</v>
      </c>
      <c r="AM238" s="77">
        <f>+AM237*AM221</f>
        <v>0</v>
      </c>
      <c r="AN238" s="77">
        <f>+AN237*AN221</f>
        <v>0</v>
      </c>
      <c r="AO238" s="77">
        <f>+AO237*AO221</f>
        <v>0</v>
      </c>
      <c r="AP238" s="77">
        <f>+AP237*AP221</f>
        <v>-13.750000000000012</v>
      </c>
      <c r="AQ238" s="89">
        <f t="shared" si="40"/>
        <v>-13.750000000000012</v>
      </c>
    </row>
    <row r="239" spans="2:43" outlineLevel="1" x14ac:dyDescent="0.25">
      <c r="B239" s="547" t="s">
        <v>321</v>
      </c>
      <c r="C239" s="548"/>
      <c r="D239" s="265"/>
      <c r="E239" s="265"/>
      <c r="F239" s="265"/>
      <c r="G239" s="265"/>
      <c r="H239" s="266"/>
      <c r="I239" s="265"/>
      <c r="J239" s="265"/>
      <c r="K239" s="265"/>
      <c r="L239" s="265">
        <v>0</v>
      </c>
      <c r="M239" s="266">
        <v>0</v>
      </c>
      <c r="N239" s="265">
        <v>0</v>
      </c>
      <c r="O239" s="265">
        <v>0</v>
      </c>
      <c r="P239" s="265">
        <v>1150</v>
      </c>
      <c r="Q239" s="265"/>
      <c r="R239" s="266">
        <v>1150</v>
      </c>
      <c r="S239" s="313">
        <v>0</v>
      </c>
      <c r="T239" s="313">
        <v>0</v>
      </c>
      <c r="U239" s="313">
        <v>0</v>
      </c>
      <c r="V239" s="313">
        <v>0</v>
      </c>
      <c r="W239" s="266">
        <f t="shared" si="36"/>
        <v>0</v>
      </c>
      <c r="X239" s="313">
        <v>0</v>
      </c>
      <c r="Y239" s="313">
        <v>0</v>
      </c>
      <c r="Z239" s="313">
        <v>0</v>
      </c>
      <c r="AA239" s="313">
        <v>0</v>
      </c>
      <c r="AB239" s="266">
        <f t="shared" si="37"/>
        <v>0</v>
      </c>
      <c r="AC239" s="313">
        <v>0</v>
      </c>
      <c r="AD239" s="313">
        <v>0</v>
      </c>
      <c r="AE239" s="313">
        <v>0</v>
      </c>
      <c r="AF239" s="313">
        <v>0</v>
      </c>
      <c r="AG239" s="266">
        <f t="shared" si="38"/>
        <v>0</v>
      </c>
      <c r="AH239" s="313">
        <v>0</v>
      </c>
      <c r="AI239" s="313">
        <v>0</v>
      </c>
      <c r="AJ239" s="313">
        <v>0</v>
      </c>
      <c r="AK239" s="313">
        <v>0</v>
      </c>
      <c r="AL239" s="266">
        <f t="shared" si="39"/>
        <v>0</v>
      </c>
      <c r="AM239" s="313">
        <v>0</v>
      </c>
      <c r="AN239" s="313">
        <v>0</v>
      </c>
      <c r="AO239" s="313">
        <v>0</v>
      </c>
      <c r="AP239" s="313">
        <v>0</v>
      </c>
      <c r="AQ239" s="266">
        <f t="shared" si="40"/>
        <v>0</v>
      </c>
    </row>
    <row r="240" spans="2:43" x14ac:dyDescent="0.25">
      <c r="B240" s="29"/>
      <c r="C240" s="29"/>
      <c r="F240" s="1"/>
      <c r="G240" s="1"/>
      <c r="H240" s="1"/>
      <c r="J240" s="41"/>
      <c r="K240" s="41"/>
      <c r="L240" s="41"/>
      <c r="M240" s="448"/>
      <c r="P240" s="1"/>
      <c r="Q240" s="1"/>
      <c r="R240" s="448"/>
      <c r="U240" s="1"/>
      <c r="V240" s="1"/>
      <c r="W240" s="448"/>
      <c r="Z240" s="1"/>
      <c r="AA240" s="1"/>
      <c r="AB240" s="448"/>
      <c r="AE240" s="1"/>
      <c r="AF240" s="1"/>
      <c r="AG240" s="448"/>
      <c r="AJ240" s="1"/>
      <c r="AK240" s="1"/>
      <c r="AL240" s="448"/>
      <c r="AO240" s="1"/>
      <c r="AP240" s="1"/>
      <c r="AQ240" s="448"/>
    </row>
    <row r="241" spans="1:44" ht="15.75" x14ac:dyDescent="0.25">
      <c r="B241" s="532" t="s">
        <v>79</v>
      </c>
      <c r="C241" s="540"/>
      <c r="D241" s="67" t="s">
        <v>88</v>
      </c>
      <c r="E241" s="67" t="s">
        <v>89</v>
      </c>
      <c r="F241" s="67" t="s">
        <v>90</v>
      </c>
      <c r="G241" s="67" t="s">
        <v>91</v>
      </c>
      <c r="H241" s="403" t="s">
        <v>91</v>
      </c>
      <c r="I241" s="67" t="s">
        <v>92</v>
      </c>
      <c r="J241" s="67" t="s">
        <v>93</v>
      </c>
      <c r="K241" s="67" t="s">
        <v>94</v>
      </c>
      <c r="L241" s="67" t="s">
        <v>95</v>
      </c>
      <c r="M241" s="403" t="s">
        <v>95</v>
      </c>
      <c r="N241" s="67" t="s">
        <v>96</v>
      </c>
      <c r="O241" s="67" t="s">
        <v>97</v>
      </c>
      <c r="P241" s="67" t="s">
        <v>98</v>
      </c>
      <c r="Q241" s="67" t="s">
        <v>99</v>
      </c>
      <c r="R241" s="403" t="s">
        <v>99</v>
      </c>
      <c r="S241" s="69" t="s">
        <v>100</v>
      </c>
      <c r="T241" s="69" t="s">
        <v>101</v>
      </c>
      <c r="U241" s="69" t="s">
        <v>102</v>
      </c>
      <c r="V241" s="69" t="s">
        <v>103</v>
      </c>
      <c r="W241" s="407" t="s">
        <v>103</v>
      </c>
      <c r="X241" s="69" t="s">
        <v>104</v>
      </c>
      <c r="Y241" s="69" t="s">
        <v>105</v>
      </c>
      <c r="Z241" s="69" t="s">
        <v>106</v>
      </c>
      <c r="AA241" s="69" t="s">
        <v>107</v>
      </c>
      <c r="AB241" s="407" t="s">
        <v>107</v>
      </c>
      <c r="AC241" s="69" t="s">
        <v>108</v>
      </c>
      <c r="AD241" s="69" t="s">
        <v>109</v>
      </c>
      <c r="AE241" s="69" t="s">
        <v>110</v>
      </c>
      <c r="AF241" s="69" t="s">
        <v>111</v>
      </c>
      <c r="AG241" s="407" t="s">
        <v>111</v>
      </c>
      <c r="AH241" s="69" t="s">
        <v>112</v>
      </c>
      <c r="AI241" s="69" t="s">
        <v>113</v>
      </c>
      <c r="AJ241" s="69" t="s">
        <v>114</v>
      </c>
      <c r="AK241" s="69" t="s">
        <v>115</v>
      </c>
      <c r="AL241" s="407" t="s">
        <v>115</v>
      </c>
      <c r="AM241" s="69" t="s">
        <v>116</v>
      </c>
      <c r="AN241" s="69" t="s">
        <v>117</v>
      </c>
      <c r="AO241" s="69" t="s">
        <v>118</v>
      </c>
      <c r="AP241" s="69" t="s">
        <v>119</v>
      </c>
      <c r="AQ241" s="407" t="s">
        <v>119</v>
      </c>
    </row>
    <row r="242" spans="1:44" ht="17.25" x14ac:dyDescent="0.4">
      <c r="B242" s="294" t="s">
        <v>3</v>
      </c>
      <c r="C242" s="409"/>
      <c r="D242" s="68" t="s">
        <v>52</v>
      </c>
      <c r="E242" s="68" t="s">
        <v>55</v>
      </c>
      <c r="F242" s="68" t="s">
        <v>56</v>
      </c>
      <c r="G242" s="68" t="s">
        <v>60</v>
      </c>
      <c r="H242" s="404" t="s">
        <v>61</v>
      </c>
      <c r="I242" s="68" t="s">
        <v>62</v>
      </c>
      <c r="J242" s="68" t="s">
        <v>73</v>
      </c>
      <c r="K242" s="68" t="s">
        <v>77</v>
      </c>
      <c r="L242" s="68" t="s">
        <v>81</v>
      </c>
      <c r="M242" s="404" t="s">
        <v>82</v>
      </c>
      <c r="N242" s="68" t="s">
        <v>83</v>
      </c>
      <c r="O242" s="68" t="s">
        <v>84</v>
      </c>
      <c r="P242" s="68" t="s">
        <v>85</v>
      </c>
      <c r="Q242" s="68" t="s">
        <v>86</v>
      </c>
      <c r="R242" s="404" t="s">
        <v>87</v>
      </c>
      <c r="S242" s="66" t="s">
        <v>344</v>
      </c>
      <c r="T242" s="66" t="s">
        <v>345</v>
      </c>
      <c r="U242" s="66" t="s">
        <v>346</v>
      </c>
      <c r="V242" s="66" t="s">
        <v>347</v>
      </c>
      <c r="W242" s="408" t="s">
        <v>348</v>
      </c>
      <c r="X242" s="66" t="s">
        <v>349</v>
      </c>
      <c r="Y242" s="66" t="s">
        <v>350</v>
      </c>
      <c r="Z242" s="66" t="s">
        <v>351</v>
      </c>
      <c r="AA242" s="66" t="s">
        <v>352</v>
      </c>
      <c r="AB242" s="408" t="s">
        <v>353</v>
      </c>
      <c r="AC242" s="66" t="s">
        <v>354</v>
      </c>
      <c r="AD242" s="66" t="s">
        <v>355</v>
      </c>
      <c r="AE242" s="66" t="s">
        <v>356</v>
      </c>
      <c r="AF242" s="66" t="s">
        <v>357</v>
      </c>
      <c r="AG242" s="408" t="s">
        <v>358</v>
      </c>
      <c r="AH242" s="66" t="s">
        <v>359</v>
      </c>
      <c r="AI242" s="66" t="s">
        <v>360</v>
      </c>
      <c r="AJ242" s="66" t="s">
        <v>361</v>
      </c>
      <c r="AK242" s="66" t="s">
        <v>362</v>
      </c>
      <c r="AL242" s="408" t="s">
        <v>363</v>
      </c>
      <c r="AM242" s="66" t="s">
        <v>364</v>
      </c>
      <c r="AN242" s="66" t="s">
        <v>365</v>
      </c>
      <c r="AO242" s="66" t="s">
        <v>366</v>
      </c>
      <c r="AP242" s="66" t="s">
        <v>367</v>
      </c>
      <c r="AQ242" s="408" t="s">
        <v>368</v>
      </c>
    </row>
    <row r="243" spans="1:44" ht="14.45" customHeight="1" x14ac:dyDescent="0.25">
      <c r="B243" s="532" t="s">
        <v>6</v>
      </c>
      <c r="C243" s="540"/>
      <c r="D243" s="67"/>
      <c r="E243" s="67"/>
      <c r="F243" s="67"/>
      <c r="G243" s="67"/>
      <c r="H243" s="403"/>
      <c r="I243" s="67"/>
      <c r="J243" s="67"/>
      <c r="K243" s="67"/>
      <c r="L243" s="67"/>
      <c r="M243" s="403"/>
      <c r="N243" s="67"/>
      <c r="O243" s="67"/>
      <c r="P243" s="67"/>
      <c r="Q243" s="67"/>
      <c r="R243" s="403"/>
      <c r="S243" s="69"/>
      <c r="T243" s="69"/>
      <c r="U243" s="69"/>
      <c r="V243" s="69"/>
      <c r="W243" s="407"/>
      <c r="X243" s="69"/>
      <c r="Y243" s="69"/>
      <c r="Z243" s="69"/>
      <c r="AA243" s="69"/>
      <c r="AB243" s="407"/>
      <c r="AC243" s="69"/>
      <c r="AD243" s="69"/>
      <c r="AE243" s="69"/>
      <c r="AF243" s="69"/>
      <c r="AG243" s="407"/>
      <c r="AH243" s="69"/>
      <c r="AI243" s="69"/>
      <c r="AJ243" s="69"/>
      <c r="AK243" s="69"/>
      <c r="AL243" s="407"/>
      <c r="AM243" s="69"/>
      <c r="AN243" s="69"/>
      <c r="AO243" s="69"/>
      <c r="AP243" s="69"/>
      <c r="AQ243" s="407"/>
    </row>
    <row r="244" spans="1:44" ht="14.45" customHeight="1" outlineLevel="1" x14ac:dyDescent="0.25">
      <c r="B244" s="549" t="s">
        <v>36</v>
      </c>
      <c r="C244" s="550"/>
      <c r="D244" s="77">
        <f>D339</f>
        <v>3543</v>
      </c>
      <c r="E244" s="77">
        <f>E339</f>
        <v>3647</v>
      </c>
      <c r="F244" s="77">
        <f>F339</f>
        <v>2841</v>
      </c>
      <c r="G244" s="70">
        <f>G339</f>
        <v>3534</v>
      </c>
      <c r="H244" s="71">
        <f>G244</f>
        <v>3534</v>
      </c>
      <c r="I244" s="70">
        <f>I339</f>
        <v>2989</v>
      </c>
      <c r="J244" s="77">
        <f>J339</f>
        <v>3059</v>
      </c>
      <c r="K244" s="77">
        <f>K339</f>
        <v>3173</v>
      </c>
      <c r="L244" s="70">
        <f>L339</f>
        <v>3969</v>
      </c>
      <c r="M244" s="71">
        <f>L244</f>
        <v>3969</v>
      </c>
      <c r="N244" s="77">
        <f>N339</f>
        <v>3503</v>
      </c>
      <c r="O244" s="77">
        <f>O339</f>
        <v>2768</v>
      </c>
      <c r="P244" s="77">
        <f>P339</f>
        <v>2789</v>
      </c>
      <c r="Q244" s="70">
        <f>Q339</f>
        <v>3265.1257859999969</v>
      </c>
      <c r="R244" s="71">
        <f>Q244</f>
        <v>3265.1257859999969</v>
      </c>
      <c r="S244" s="520">
        <f>S339</f>
        <v>4674.3470033334361</v>
      </c>
      <c r="T244" s="520">
        <f>T339</f>
        <v>6248.4317861553118</v>
      </c>
      <c r="U244" s="520">
        <f>U339</f>
        <v>7852.0868759074492</v>
      </c>
      <c r="V244" s="520">
        <f>V339</f>
        <v>9788.0820354366479</v>
      </c>
      <c r="W244" s="521">
        <f>V244</f>
        <v>9788.0820354366479</v>
      </c>
      <c r="X244" s="520">
        <f>X339</f>
        <v>11408.353045874897</v>
      </c>
      <c r="Y244" s="520">
        <f>Y339</f>
        <v>13231.067505729548</v>
      </c>
      <c r="Z244" s="520">
        <f>Z339</f>
        <v>15097.934501927102</v>
      </c>
      <c r="AA244" s="520">
        <f>AA339</f>
        <v>17173.376143052494</v>
      </c>
      <c r="AB244" s="521">
        <f>AA244</f>
        <v>17173.376143052494</v>
      </c>
      <c r="AC244" s="520">
        <f>AC339</f>
        <v>19039.733723511577</v>
      </c>
      <c r="AD244" s="520">
        <f>AD339</f>
        <v>21132.259009501311</v>
      </c>
      <c r="AE244" s="520">
        <f>AE339</f>
        <v>23270.919092866043</v>
      </c>
      <c r="AF244" s="520">
        <f>AF339</f>
        <v>25592.819500838585</v>
      </c>
      <c r="AG244" s="521">
        <f>AF244</f>
        <v>25592.819500838585</v>
      </c>
      <c r="AH244" s="520">
        <f>AH339</f>
        <v>27731.178511714461</v>
      </c>
      <c r="AI244" s="520">
        <f>AI339</f>
        <v>30120.230682705762</v>
      </c>
      <c r="AJ244" s="520">
        <f>AJ339</f>
        <v>32559.089710064956</v>
      </c>
      <c r="AK244" s="520">
        <f>AK339</f>
        <v>35197.369523273432</v>
      </c>
      <c r="AL244" s="521">
        <f>AK244</f>
        <v>35197.369523273432</v>
      </c>
      <c r="AM244" s="520">
        <f>AM339</f>
        <v>37637.963145199035</v>
      </c>
      <c r="AN244" s="520">
        <f>AN339</f>
        <v>40356.939083302488</v>
      </c>
      <c r="AO244" s="520">
        <f>AO339</f>
        <v>43129.86865332468</v>
      </c>
      <c r="AP244" s="520">
        <f>AP339</f>
        <v>46120.253279880519</v>
      </c>
      <c r="AQ244" s="521">
        <f>AP244</f>
        <v>46120.253279880519</v>
      </c>
      <c r="AR244" s="522"/>
    </row>
    <row r="245" spans="1:44" s="88" customFormat="1" ht="14.45" customHeight="1" outlineLevel="1" x14ac:dyDescent="0.25">
      <c r="A245" s="207"/>
      <c r="B245" s="549" t="s">
        <v>177</v>
      </c>
      <c r="C245" s="550"/>
      <c r="D245" s="77">
        <v>5617</v>
      </c>
      <c r="E245" s="70">
        <v>5865</v>
      </c>
      <c r="F245" s="70">
        <v>5634</v>
      </c>
      <c r="G245" s="70">
        <v>7252</v>
      </c>
      <c r="H245" s="71">
        <f>G245</f>
        <v>7252</v>
      </c>
      <c r="I245" s="70">
        <v>7233</v>
      </c>
      <c r="J245" s="77">
        <v>7575</v>
      </c>
      <c r="K245" s="77">
        <v>7418</v>
      </c>
      <c r="L245" s="70">
        <v>7599</v>
      </c>
      <c r="M245" s="71">
        <f>L245</f>
        <v>7599</v>
      </c>
      <c r="N245" s="77">
        <v>8006</v>
      </c>
      <c r="O245" s="70">
        <v>8655</v>
      </c>
      <c r="P245" s="70">
        <v>8671</v>
      </c>
      <c r="Q245" s="70">
        <v>8522</v>
      </c>
      <c r="R245" s="71">
        <f>Q245</f>
        <v>8522</v>
      </c>
      <c r="S245" s="70">
        <f>(S13/S289*2)-Q245</f>
        <v>8404.7719263670333</v>
      </c>
      <c r="T245" s="70">
        <f>(T13/T289*2)-S245</f>
        <v>9800.9449219608941</v>
      </c>
      <c r="U245" s="70">
        <f>(U13/U289*2)-T245</f>
        <v>9176.2520283084959</v>
      </c>
      <c r="V245" s="70">
        <f>(V13/V289*2)-U245</f>
        <v>9623.4488518751423</v>
      </c>
      <c r="W245" s="71">
        <f>V245</f>
        <v>9623.4488518751423</v>
      </c>
      <c r="X245" s="70">
        <f>(X13/X289*2)-V245</f>
        <v>8869.3539416227031</v>
      </c>
      <c r="Y245" s="70">
        <f>(Y13/Y289*2)-X245</f>
        <v>11067.655433282514</v>
      </c>
      <c r="Z245" s="70">
        <f>(Z13/Z289*2)-Y245</f>
        <v>9717.9180688743327</v>
      </c>
      <c r="AA245" s="70">
        <f>(AA13/AA289*2)-Z245</f>
        <v>10875.325532451956</v>
      </c>
      <c r="AB245" s="71">
        <f>AA245</f>
        <v>10875.325532451956</v>
      </c>
      <c r="AC245" s="70">
        <f>(AC13/AC289*2)-AA245</f>
        <v>9379.7098499867316</v>
      </c>
      <c r="AD245" s="70">
        <f>(AD13/AD289*2)-AC245</f>
        <v>12482.528336520758</v>
      </c>
      <c r="AE245" s="70">
        <f>(AE13/AE289*2)-AD245</f>
        <v>10312.937455472133</v>
      </c>
      <c r="AF245" s="70">
        <f>(AF13/AF289*2)-AE245</f>
        <v>12283.161883877707</v>
      </c>
      <c r="AG245" s="71">
        <f>AF245</f>
        <v>12283.161883877707</v>
      </c>
      <c r="AH245" s="70">
        <f>(AH13/AH289*2)-AF245</f>
        <v>9939.4639796910815</v>
      </c>
      <c r="AI245" s="70">
        <f>(AI13/AI289*2)-AH245</f>
        <v>14068.948776086043</v>
      </c>
      <c r="AJ245" s="70">
        <f>(AJ13/AJ289*2)-AI245</f>
        <v>10967.722535879242</v>
      </c>
      <c r="AK245" s="70">
        <f>(AK13/AK289*2)-AJ245</f>
        <v>13864.32461085264</v>
      </c>
      <c r="AL245" s="71">
        <f>AK245</f>
        <v>13864.32461085264</v>
      </c>
      <c r="AM245" s="70">
        <f>(AM13/AM289*2)-AK245</f>
        <v>10553.832437720648</v>
      </c>
      <c r="AN245" s="70">
        <f>(AN13/AN289*2)-AM245</f>
        <v>15849.890702234366</v>
      </c>
      <c r="AO245" s="70">
        <f>(AO13/AO289*2)-AN245</f>
        <v>11688.065226826293</v>
      </c>
      <c r="AP245" s="70">
        <f>(AP13/AP289*2)-AO245</f>
        <v>15640.896699588408</v>
      </c>
      <c r="AQ245" s="71">
        <f>AP245</f>
        <v>15640.896699588408</v>
      </c>
    </row>
    <row r="246" spans="1:44" ht="14.45" customHeight="1" outlineLevel="1" x14ac:dyDescent="0.25">
      <c r="B246" s="292" t="s">
        <v>178</v>
      </c>
      <c r="C246" s="293"/>
      <c r="D246" s="77">
        <v>488</v>
      </c>
      <c r="E246" s="70">
        <v>493</v>
      </c>
      <c r="F246" s="70">
        <v>476</v>
      </c>
      <c r="G246" s="70">
        <v>496</v>
      </c>
      <c r="H246" s="71">
        <f>G246</f>
        <v>496</v>
      </c>
      <c r="I246" s="70">
        <v>512</v>
      </c>
      <c r="J246" s="77">
        <v>517</v>
      </c>
      <c r="K246" s="77">
        <v>527</v>
      </c>
      <c r="L246" s="70">
        <v>514</v>
      </c>
      <c r="M246" s="71">
        <f>L246</f>
        <v>514</v>
      </c>
      <c r="N246" s="77">
        <v>516</v>
      </c>
      <c r="O246" s="70">
        <v>533</v>
      </c>
      <c r="P246" s="70">
        <v>523</v>
      </c>
      <c r="Q246" s="116">
        <v>525</v>
      </c>
      <c r="R246" s="147">
        <f>Q246</f>
        <v>525</v>
      </c>
      <c r="S246" s="116">
        <f>+S250*S291</f>
        <v>539.70967647812074</v>
      </c>
      <c r="T246" s="116">
        <f>+T250*T291</f>
        <v>536.6741735953226</v>
      </c>
      <c r="U246" s="116">
        <f>+U250*U291</f>
        <v>532.88491740737641</v>
      </c>
      <c r="V246" s="116">
        <f>+V250*V291</f>
        <v>533.56719187020497</v>
      </c>
      <c r="W246" s="71">
        <f>V246</f>
        <v>533.56719187020497</v>
      </c>
      <c r="X246" s="116">
        <f>+X250*X291</f>
        <v>535.70898983775612</v>
      </c>
      <c r="Y246" s="116">
        <f>+Y250*Y291</f>
        <v>534.70881817766497</v>
      </c>
      <c r="Z246" s="116">
        <f>+Z250*Z291</f>
        <v>534.21747932325059</v>
      </c>
      <c r="AA246" s="116">
        <f>+AA250*AA291</f>
        <v>534.55061980221922</v>
      </c>
      <c r="AB246" s="71">
        <f>AA246</f>
        <v>534.55061980221922</v>
      </c>
      <c r="AC246" s="116">
        <f>+AC250*AC291</f>
        <v>534.79647678522281</v>
      </c>
      <c r="AD246" s="116">
        <f>+AD250*AD291</f>
        <v>534.56834852208931</v>
      </c>
      <c r="AE246" s="116">
        <f>+AE250*AE291</f>
        <v>534.53323110819542</v>
      </c>
      <c r="AF246" s="116">
        <f>+AF250*AF291</f>
        <v>534.61216905443166</v>
      </c>
      <c r="AG246" s="71">
        <f>AF246</f>
        <v>534.61216905443166</v>
      </c>
      <c r="AH246" s="116">
        <f>+AH250*AH291</f>
        <v>534.62755636748477</v>
      </c>
      <c r="AI246" s="116">
        <f>+AI250*AI291</f>
        <v>534.58532626305032</v>
      </c>
      <c r="AJ246" s="116">
        <f>+AJ250*AJ291</f>
        <v>534.58957069829057</v>
      </c>
      <c r="AK246" s="116">
        <f>+AK250*AK291</f>
        <v>534.6036555958143</v>
      </c>
      <c r="AL246" s="71">
        <f>AK246</f>
        <v>534.6036555958143</v>
      </c>
      <c r="AM246" s="116">
        <f>+AM250*AM291</f>
        <v>534.60152723115993</v>
      </c>
      <c r="AN246" s="116">
        <f>+AN250*AN291</f>
        <v>534.59501994707875</v>
      </c>
      <c r="AO246" s="116">
        <f>+AO250*AO291</f>
        <v>534.59744336808592</v>
      </c>
      <c r="AP246" s="116">
        <f>+AP250*AP291</f>
        <v>534.59941153553473</v>
      </c>
      <c r="AQ246" s="71">
        <f>AP246</f>
        <v>534.59941153553473</v>
      </c>
    </row>
    <row r="247" spans="1:44" ht="14.45" customHeight="1" outlineLevel="1" x14ac:dyDescent="0.25">
      <c r="B247" s="549" t="s">
        <v>179</v>
      </c>
      <c r="C247" s="550"/>
      <c r="D247" s="77">
        <v>606</v>
      </c>
      <c r="E247" s="77">
        <v>687</v>
      </c>
      <c r="F247" s="77">
        <v>608</v>
      </c>
      <c r="G247" s="77">
        <v>0</v>
      </c>
      <c r="H247" s="71">
        <f>G247</f>
        <v>0</v>
      </c>
      <c r="I247" s="77">
        <v>0</v>
      </c>
      <c r="J247" s="77">
        <f>I247</f>
        <v>0</v>
      </c>
      <c r="K247" s="77">
        <f>J247</f>
        <v>0</v>
      </c>
      <c r="L247" s="77">
        <f>K247</f>
        <v>0</v>
      </c>
      <c r="M247" s="71">
        <f>L247</f>
        <v>0</v>
      </c>
      <c r="N247" s="77">
        <f>M247</f>
        <v>0</v>
      </c>
      <c r="O247" s="77">
        <v>0</v>
      </c>
      <c r="P247" s="77">
        <v>0</v>
      </c>
      <c r="Q247" s="77">
        <v>0</v>
      </c>
      <c r="R247" s="71">
        <f>Q247</f>
        <v>0</v>
      </c>
      <c r="S247" s="77">
        <v>0</v>
      </c>
      <c r="T247" s="77">
        <v>0</v>
      </c>
      <c r="U247" s="77">
        <v>0</v>
      </c>
      <c r="V247" s="77">
        <v>0</v>
      </c>
      <c r="W247" s="71">
        <f>V247</f>
        <v>0</v>
      </c>
      <c r="X247" s="77">
        <v>0</v>
      </c>
      <c r="Y247" s="77">
        <v>0</v>
      </c>
      <c r="Z247" s="77">
        <v>0</v>
      </c>
      <c r="AA247" s="77">
        <v>0</v>
      </c>
      <c r="AB247" s="71">
        <f>AA247</f>
        <v>0</v>
      </c>
      <c r="AC247" s="77">
        <v>0</v>
      </c>
      <c r="AD247" s="77">
        <v>0</v>
      </c>
      <c r="AE247" s="77">
        <v>0</v>
      </c>
      <c r="AF247" s="77">
        <v>0</v>
      </c>
      <c r="AG247" s="71">
        <f>AF247</f>
        <v>0</v>
      </c>
      <c r="AH247" s="77">
        <v>0</v>
      </c>
      <c r="AI247" s="77">
        <v>0</v>
      </c>
      <c r="AJ247" s="77">
        <v>0</v>
      </c>
      <c r="AK247" s="77">
        <v>0</v>
      </c>
      <c r="AL247" s="71">
        <f>AK247</f>
        <v>0</v>
      </c>
      <c r="AM247" s="77">
        <v>0</v>
      </c>
      <c r="AN247" s="77">
        <v>0</v>
      </c>
      <c r="AO247" s="77">
        <v>0</v>
      </c>
      <c r="AP247" s="77">
        <v>0</v>
      </c>
      <c r="AQ247" s="71">
        <f>AP247</f>
        <v>0</v>
      </c>
    </row>
    <row r="248" spans="1:44" ht="16.149999999999999" customHeight="1" outlineLevel="1" x14ac:dyDescent="0.4">
      <c r="B248" s="549" t="s">
        <v>275</v>
      </c>
      <c r="C248" s="550"/>
      <c r="D248" s="78">
        <v>449</v>
      </c>
      <c r="E248" s="78">
        <v>460</v>
      </c>
      <c r="F248" s="78">
        <v>678</v>
      </c>
      <c r="G248" s="78">
        <v>707</v>
      </c>
      <c r="H248" s="76">
        <f>G248</f>
        <v>707</v>
      </c>
      <c r="I248" s="78">
        <v>667</v>
      </c>
      <c r="J248" s="78">
        <v>901</v>
      </c>
      <c r="K248" s="78">
        <v>820</v>
      </c>
      <c r="L248" s="78">
        <v>546</v>
      </c>
      <c r="M248" s="76">
        <f>L248</f>
        <v>546</v>
      </c>
      <c r="N248" s="78">
        <v>697</v>
      </c>
      <c r="O248" s="78">
        <v>925</v>
      </c>
      <c r="P248" s="78">
        <v>1592</v>
      </c>
      <c r="Q248" s="78">
        <v>1040</v>
      </c>
      <c r="R248" s="76">
        <f>Q248</f>
        <v>1040</v>
      </c>
      <c r="S248" s="219">
        <f>AVERAGE(N248,O248,P248,Q248)</f>
        <v>1063.5</v>
      </c>
      <c r="T248" s="219">
        <f>AVERAGE(O248,P248,Q248,S248)</f>
        <v>1155.125</v>
      </c>
      <c r="U248" s="219">
        <f>AVERAGE(P248,Q248,S248,T248)</f>
        <v>1212.65625</v>
      </c>
      <c r="V248" s="219">
        <f>AVERAGE(Q248,S248,T248,U248)</f>
        <v>1117.8203125</v>
      </c>
      <c r="W248" s="76">
        <f>V248</f>
        <v>1117.8203125</v>
      </c>
      <c r="X248" s="219">
        <f>AVERAGE(S248,T248,U248,V248)</f>
        <v>1137.275390625</v>
      </c>
      <c r="Y248" s="219">
        <f>AVERAGE(T248,U248,V248,X248)</f>
        <v>1155.71923828125</v>
      </c>
      <c r="Z248" s="219">
        <f>AVERAGE(U248,V248,X248,Y248)</f>
        <v>1155.8677978515625</v>
      </c>
      <c r="AA248" s="219">
        <f>AVERAGE(V248,X248,Y248,Z248)</f>
        <v>1141.6706848144531</v>
      </c>
      <c r="AB248" s="76">
        <f>AA248</f>
        <v>1141.6706848144531</v>
      </c>
      <c r="AC248" s="219">
        <f>AVERAGE(X248,Y248,Z248,AA248)</f>
        <v>1147.6332778930664</v>
      </c>
      <c r="AD248" s="219">
        <f>AVERAGE(Y248,Z248,AA248,AC248)</f>
        <v>1150.222749710083</v>
      </c>
      <c r="AE248" s="219">
        <f>AVERAGE(Z248,AA248,AC248,AD248)</f>
        <v>1148.8486275672913</v>
      </c>
      <c r="AF248" s="219">
        <f>AVERAGE(AA248,AC248,AD248,AE248)</f>
        <v>1147.0938349962234</v>
      </c>
      <c r="AG248" s="76">
        <f>AF248</f>
        <v>1147.0938349962234</v>
      </c>
      <c r="AH248" s="219">
        <f>AVERAGE(AC248,AD248,AE248,AF248)</f>
        <v>1148.449622541666</v>
      </c>
      <c r="AI248" s="219">
        <f>AVERAGE(AD248,AE248,AF248,AH248)</f>
        <v>1148.6537087038159</v>
      </c>
      <c r="AJ248" s="219">
        <f>AVERAGE(AE248,AF248,AH248,AI248)</f>
        <v>1148.2614484522492</v>
      </c>
      <c r="AK248" s="219">
        <f>AVERAGE(AF248,AH248,AI248,AJ248)</f>
        <v>1148.1146536734886</v>
      </c>
      <c r="AL248" s="76">
        <f>AK248</f>
        <v>1148.1146536734886</v>
      </c>
      <c r="AM248" s="219">
        <f>AVERAGE(AH248,AI248,AJ248,AK248)</f>
        <v>1148.3698583428049</v>
      </c>
      <c r="AN248" s="219">
        <f>AVERAGE(AI248,AJ248,AK248,AM248)</f>
        <v>1148.3499172930897</v>
      </c>
      <c r="AO248" s="219">
        <f>AVERAGE(AJ248,AK248,AM248,AN248)</f>
        <v>1148.2739694404081</v>
      </c>
      <c r="AP248" s="219">
        <f>AVERAGE(AK248,AM248,AN248,AO248)</f>
        <v>1148.2770996874478</v>
      </c>
      <c r="AQ248" s="76">
        <f>AP248</f>
        <v>1148.2770996874478</v>
      </c>
    </row>
    <row r="249" spans="1:44" ht="14.45" customHeight="1" outlineLevel="1" x14ac:dyDescent="0.25">
      <c r="B249" s="290" t="s">
        <v>4</v>
      </c>
      <c r="C249" s="291"/>
      <c r="D249" s="86">
        <f t="shared" ref="D249:AQ249" si="41">SUM(D244:D248)</f>
        <v>10703</v>
      </c>
      <c r="E249" s="84">
        <f t="shared" si="41"/>
        <v>11152</v>
      </c>
      <c r="F249" s="86">
        <f t="shared" si="41"/>
        <v>10237</v>
      </c>
      <c r="G249" s="86">
        <f t="shared" si="41"/>
        <v>11989</v>
      </c>
      <c r="H249" s="85">
        <f t="shared" si="41"/>
        <v>11989</v>
      </c>
      <c r="I249" s="84">
        <f t="shared" si="41"/>
        <v>11401</v>
      </c>
      <c r="J249" s="86">
        <f t="shared" si="41"/>
        <v>12052</v>
      </c>
      <c r="K249" s="86">
        <f t="shared" si="41"/>
        <v>11938</v>
      </c>
      <c r="L249" s="86">
        <f t="shared" si="41"/>
        <v>12628</v>
      </c>
      <c r="M249" s="85">
        <f t="shared" si="41"/>
        <v>12628</v>
      </c>
      <c r="N249" s="86">
        <f t="shared" si="41"/>
        <v>12722</v>
      </c>
      <c r="O249" s="84">
        <f t="shared" si="41"/>
        <v>12881</v>
      </c>
      <c r="P249" s="84">
        <f t="shared" si="41"/>
        <v>13575</v>
      </c>
      <c r="Q249" s="86">
        <f t="shared" si="41"/>
        <v>13352.125785999997</v>
      </c>
      <c r="R249" s="85">
        <f t="shared" si="41"/>
        <v>13352.125785999997</v>
      </c>
      <c r="S249" s="84">
        <f t="shared" si="41"/>
        <v>14682.328606178589</v>
      </c>
      <c r="T249" s="84">
        <f t="shared" si="41"/>
        <v>17741.17588171153</v>
      </c>
      <c r="U249" s="84">
        <f t="shared" si="41"/>
        <v>18773.880071623324</v>
      </c>
      <c r="V249" s="84">
        <f t="shared" si="41"/>
        <v>21062.918391681997</v>
      </c>
      <c r="W249" s="85">
        <f t="shared" si="41"/>
        <v>21062.918391681997</v>
      </c>
      <c r="X249" s="84">
        <f t="shared" si="41"/>
        <v>21950.691367960357</v>
      </c>
      <c r="Y249" s="84">
        <f t="shared" si="41"/>
        <v>25989.150995470976</v>
      </c>
      <c r="Z249" s="84">
        <f t="shared" si="41"/>
        <v>26505.937847976249</v>
      </c>
      <c r="AA249" s="84">
        <f t="shared" si="41"/>
        <v>29724.922980121122</v>
      </c>
      <c r="AB249" s="85">
        <f t="shared" si="41"/>
        <v>29724.922980121122</v>
      </c>
      <c r="AC249" s="84">
        <f t="shared" si="41"/>
        <v>30101.8733281766</v>
      </c>
      <c r="AD249" s="84">
        <f t="shared" si="41"/>
        <v>35299.578444254243</v>
      </c>
      <c r="AE249" s="84">
        <f t="shared" si="41"/>
        <v>35267.238407013661</v>
      </c>
      <c r="AF249" s="84">
        <f t="shared" si="41"/>
        <v>39557.687388766943</v>
      </c>
      <c r="AG249" s="85">
        <f t="shared" si="41"/>
        <v>39557.687388766943</v>
      </c>
      <c r="AH249" s="84">
        <f t="shared" si="41"/>
        <v>39353.719670314691</v>
      </c>
      <c r="AI249" s="84">
        <f t="shared" si="41"/>
        <v>45872.418493758669</v>
      </c>
      <c r="AJ249" s="84">
        <f t="shared" si="41"/>
        <v>45209.663265094736</v>
      </c>
      <c r="AK249" s="84">
        <f t="shared" si="41"/>
        <v>50744.412443395369</v>
      </c>
      <c r="AL249" s="85">
        <f t="shared" si="41"/>
        <v>50744.412443395369</v>
      </c>
      <c r="AM249" s="84">
        <f t="shared" si="41"/>
        <v>49874.766968493655</v>
      </c>
      <c r="AN249" s="84">
        <f t="shared" si="41"/>
        <v>57889.774722777023</v>
      </c>
      <c r="AO249" s="84">
        <f t="shared" si="41"/>
        <v>56500.805292959471</v>
      </c>
      <c r="AP249" s="84">
        <f t="shared" si="41"/>
        <v>63444.026490691911</v>
      </c>
      <c r="AQ249" s="85">
        <f t="shared" si="41"/>
        <v>63444.026490691911</v>
      </c>
    </row>
    <row r="250" spans="1:44" outlineLevel="1" x14ac:dyDescent="0.25">
      <c r="B250" s="296" t="s">
        <v>271</v>
      </c>
      <c r="C250" s="291"/>
      <c r="D250" s="77">
        <v>43989</v>
      </c>
      <c r="E250" s="77">
        <v>45242</v>
      </c>
      <c r="F250" s="77">
        <v>46032</v>
      </c>
      <c r="G250" s="77">
        <v>47018</v>
      </c>
      <c r="H250" s="71">
        <f>G250</f>
        <v>47018</v>
      </c>
      <c r="I250" s="77">
        <v>48121</v>
      </c>
      <c r="J250" s="77">
        <v>48918</v>
      </c>
      <c r="K250" s="77">
        <v>49752</v>
      </c>
      <c r="L250" s="77">
        <v>50626</v>
      </c>
      <c r="M250" s="71">
        <f>L250</f>
        <v>50626</v>
      </c>
      <c r="N250" s="77">
        <v>51540</v>
      </c>
      <c r="O250" s="77">
        <v>53240</v>
      </c>
      <c r="P250" s="77">
        <v>54377</v>
      </c>
      <c r="Q250" s="77">
        <v>55121</v>
      </c>
      <c r="R250" s="71">
        <f>Q250</f>
        <v>55121</v>
      </c>
      <c r="S250" s="77">
        <f>Q250-S322</f>
        <v>55121</v>
      </c>
      <c r="T250" s="77">
        <f>S250-T322</f>
        <v>55121</v>
      </c>
      <c r="U250" s="77">
        <f>T250-U322</f>
        <v>55121</v>
      </c>
      <c r="V250" s="77">
        <f>U250-V322</f>
        <v>55121</v>
      </c>
      <c r="W250" s="71">
        <f>V250</f>
        <v>55121</v>
      </c>
      <c r="X250" s="77">
        <f>V250-X322</f>
        <v>55121</v>
      </c>
      <c r="Y250" s="77">
        <f>X250-Y322</f>
        <v>55121</v>
      </c>
      <c r="Z250" s="77">
        <f>Y250-Z322</f>
        <v>55121</v>
      </c>
      <c r="AA250" s="77">
        <f>Z250-AA322</f>
        <v>55121</v>
      </c>
      <c r="AB250" s="71">
        <f>AA250</f>
        <v>55121</v>
      </c>
      <c r="AC250" s="77">
        <f>AA250-AC322</f>
        <v>55121</v>
      </c>
      <c r="AD250" s="77">
        <f>AC250-AD322</f>
        <v>55121</v>
      </c>
      <c r="AE250" s="77">
        <f>AD250-AE322</f>
        <v>55121</v>
      </c>
      <c r="AF250" s="77">
        <f>AE250-AF322</f>
        <v>55121</v>
      </c>
      <c r="AG250" s="71">
        <f>AF250</f>
        <v>55121</v>
      </c>
      <c r="AH250" s="77">
        <f>AF250-AH322</f>
        <v>55121</v>
      </c>
      <c r="AI250" s="77">
        <f>AH250-AI322</f>
        <v>55121</v>
      </c>
      <c r="AJ250" s="77">
        <f>AI250-AJ322</f>
        <v>55121</v>
      </c>
      <c r="AK250" s="77">
        <f>AJ250-AK322</f>
        <v>55121</v>
      </c>
      <c r="AL250" s="71">
        <f>AK250</f>
        <v>55121</v>
      </c>
      <c r="AM250" s="77">
        <f>AK250-AM322</f>
        <v>55121</v>
      </c>
      <c r="AN250" s="77">
        <f>AM250-AN322</f>
        <v>55121</v>
      </c>
      <c r="AO250" s="77">
        <f>AN250-AO322</f>
        <v>55121</v>
      </c>
      <c r="AP250" s="77">
        <f>AO250-AP322</f>
        <v>55121</v>
      </c>
      <c r="AQ250" s="71">
        <f>AP250</f>
        <v>55121</v>
      </c>
    </row>
    <row r="251" spans="1:44" ht="17.25" outlineLevel="1" x14ac:dyDescent="0.4">
      <c r="B251" s="100" t="s">
        <v>180</v>
      </c>
      <c r="C251" s="291"/>
      <c r="D251" s="78">
        <v>22506</v>
      </c>
      <c r="E251" s="78">
        <v>22964</v>
      </c>
      <c r="F251" s="78">
        <v>23480</v>
      </c>
      <c r="G251" s="78">
        <v>22734</v>
      </c>
      <c r="H251" s="76">
        <f>G251</f>
        <v>22734</v>
      </c>
      <c r="I251" s="78">
        <v>23317</v>
      </c>
      <c r="J251" s="78">
        <v>23611</v>
      </c>
      <c r="K251" s="78">
        <v>24139</v>
      </c>
      <c r="L251" s="78">
        <v>24645</v>
      </c>
      <c r="M251" s="76">
        <f>L251</f>
        <v>24645</v>
      </c>
      <c r="N251" s="78">
        <v>25305</v>
      </c>
      <c r="O251" s="78">
        <v>25950</v>
      </c>
      <c r="P251" s="78">
        <v>26680</v>
      </c>
      <c r="Q251" s="78">
        <v>26967</v>
      </c>
      <c r="R251" s="76">
        <f>Q251</f>
        <v>26967</v>
      </c>
      <c r="S251" s="78">
        <f>+Q251+S307</f>
        <v>26967</v>
      </c>
      <c r="T251" s="78">
        <f>+S251+T307</f>
        <v>26967</v>
      </c>
      <c r="U251" s="78">
        <f>+T251+U307</f>
        <v>26967</v>
      </c>
      <c r="V251" s="78">
        <f>+U251+V307</f>
        <v>26967</v>
      </c>
      <c r="W251" s="76">
        <f>V251</f>
        <v>26967</v>
      </c>
      <c r="X251" s="78">
        <f>+V251+X307</f>
        <v>26967</v>
      </c>
      <c r="Y251" s="78">
        <f>+X251+Y307</f>
        <v>26967</v>
      </c>
      <c r="Z251" s="78">
        <f>+Y251+Z307</f>
        <v>26967</v>
      </c>
      <c r="AA251" s="78">
        <f>+Z251+AA307</f>
        <v>26967</v>
      </c>
      <c r="AB251" s="76">
        <f>AA251</f>
        <v>26967</v>
      </c>
      <c r="AC251" s="78">
        <f>+AA251+AC307</f>
        <v>26967</v>
      </c>
      <c r="AD251" s="78">
        <f>+AC251+AD307</f>
        <v>26967</v>
      </c>
      <c r="AE251" s="78">
        <f>+AD251+AE307</f>
        <v>26967</v>
      </c>
      <c r="AF251" s="78">
        <f>+AE251+AF307</f>
        <v>26967</v>
      </c>
      <c r="AG251" s="76">
        <f>AF251</f>
        <v>26967</v>
      </c>
      <c r="AH251" s="78">
        <f>+AF251+AH307</f>
        <v>26967</v>
      </c>
      <c r="AI251" s="78">
        <f>+AH251+AI307</f>
        <v>26967</v>
      </c>
      <c r="AJ251" s="78">
        <f>+AI251+AJ307</f>
        <v>26967</v>
      </c>
      <c r="AK251" s="78">
        <f>+AJ251+AK307</f>
        <v>26967</v>
      </c>
      <c r="AL251" s="76">
        <f>AK251</f>
        <v>26967</v>
      </c>
      <c r="AM251" s="78">
        <f>+AK251+AM307</f>
        <v>26967</v>
      </c>
      <c r="AN251" s="78">
        <f>+AM251+AN307</f>
        <v>26967</v>
      </c>
      <c r="AO251" s="78">
        <f>+AN251+AO307</f>
        <v>26967</v>
      </c>
      <c r="AP251" s="78">
        <f>+AO251+AP307</f>
        <v>26967</v>
      </c>
      <c r="AQ251" s="76">
        <f>AP251</f>
        <v>26967</v>
      </c>
    </row>
    <row r="252" spans="1:44" s="32" customFormat="1" outlineLevel="1" x14ac:dyDescent="0.25">
      <c r="B252" s="290" t="s">
        <v>272</v>
      </c>
      <c r="C252" s="291"/>
      <c r="D252" s="86">
        <f t="shared" ref="D252:AQ252" si="42">+D250-D251</f>
        <v>21483</v>
      </c>
      <c r="E252" s="86">
        <f t="shared" si="42"/>
        <v>22278</v>
      </c>
      <c r="F252" s="86">
        <f t="shared" si="42"/>
        <v>22552</v>
      </c>
      <c r="G252" s="86">
        <f t="shared" si="42"/>
        <v>24284</v>
      </c>
      <c r="H252" s="85">
        <f t="shared" si="42"/>
        <v>24284</v>
      </c>
      <c r="I252" s="86">
        <f t="shared" si="42"/>
        <v>24804</v>
      </c>
      <c r="J252" s="86">
        <f t="shared" si="42"/>
        <v>25307</v>
      </c>
      <c r="K252" s="86">
        <f t="shared" si="42"/>
        <v>25613</v>
      </c>
      <c r="L252" s="86">
        <f t="shared" si="42"/>
        <v>25981</v>
      </c>
      <c r="M252" s="85">
        <f t="shared" si="42"/>
        <v>25981</v>
      </c>
      <c r="N252" s="86">
        <f t="shared" si="42"/>
        <v>26235</v>
      </c>
      <c r="O252" s="86">
        <f t="shared" si="42"/>
        <v>27290</v>
      </c>
      <c r="P252" s="86">
        <f t="shared" si="42"/>
        <v>27697</v>
      </c>
      <c r="Q252" s="86">
        <f t="shared" si="42"/>
        <v>28154</v>
      </c>
      <c r="R252" s="85">
        <f t="shared" si="42"/>
        <v>28154</v>
      </c>
      <c r="S252" s="86">
        <f t="shared" si="42"/>
        <v>28154</v>
      </c>
      <c r="T252" s="86">
        <f t="shared" si="42"/>
        <v>28154</v>
      </c>
      <c r="U252" s="86">
        <f t="shared" si="42"/>
        <v>28154</v>
      </c>
      <c r="V252" s="86">
        <f t="shared" si="42"/>
        <v>28154</v>
      </c>
      <c r="W252" s="85">
        <f t="shared" si="42"/>
        <v>28154</v>
      </c>
      <c r="X252" s="86">
        <f t="shared" si="42"/>
        <v>28154</v>
      </c>
      <c r="Y252" s="86">
        <f t="shared" si="42"/>
        <v>28154</v>
      </c>
      <c r="Z252" s="86">
        <f t="shared" si="42"/>
        <v>28154</v>
      </c>
      <c r="AA252" s="86">
        <f t="shared" si="42"/>
        <v>28154</v>
      </c>
      <c r="AB252" s="85">
        <f t="shared" si="42"/>
        <v>28154</v>
      </c>
      <c r="AC252" s="86">
        <f t="shared" si="42"/>
        <v>28154</v>
      </c>
      <c r="AD252" s="86">
        <f t="shared" si="42"/>
        <v>28154</v>
      </c>
      <c r="AE252" s="86">
        <f t="shared" si="42"/>
        <v>28154</v>
      </c>
      <c r="AF252" s="86">
        <f t="shared" si="42"/>
        <v>28154</v>
      </c>
      <c r="AG252" s="85">
        <f t="shared" si="42"/>
        <v>28154</v>
      </c>
      <c r="AH252" s="86">
        <f t="shared" si="42"/>
        <v>28154</v>
      </c>
      <c r="AI252" s="86">
        <f t="shared" si="42"/>
        <v>28154</v>
      </c>
      <c r="AJ252" s="86">
        <f t="shared" si="42"/>
        <v>28154</v>
      </c>
      <c r="AK252" s="86">
        <f t="shared" si="42"/>
        <v>28154</v>
      </c>
      <c r="AL252" s="85">
        <f t="shared" si="42"/>
        <v>28154</v>
      </c>
      <c r="AM252" s="86">
        <f t="shared" si="42"/>
        <v>28154</v>
      </c>
      <c r="AN252" s="86">
        <f t="shared" si="42"/>
        <v>28154</v>
      </c>
      <c r="AO252" s="86">
        <f t="shared" si="42"/>
        <v>28154</v>
      </c>
      <c r="AP252" s="86">
        <f t="shared" si="42"/>
        <v>28154</v>
      </c>
      <c r="AQ252" s="85">
        <f t="shared" si="42"/>
        <v>28154</v>
      </c>
    </row>
    <row r="253" spans="1:44" outlineLevel="1" x14ac:dyDescent="0.25">
      <c r="B253" s="549" t="s">
        <v>37</v>
      </c>
      <c r="C253" s="550"/>
      <c r="D253" s="77">
        <v>3792</v>
      </c>
      <c r="E253" s="77">
        <v>3806</v>
      </c>
      <c r="F253" s="77">
        <v>3764</v>
      </c>
      <c r="G253" s="77">
        <v>6747</v>
      </c>
      <c r="H253" s="71">
        <f>G253</f>
        <v>6747</v>
      </c>
      <c r="I253" s="77">
        <v>6783</v>
      </c>
      <c r="J253" s="77">
        <v>6921</v>
      </c>
      <c r="K253" s="77">
        <v>7000</v>
      </c>
      <c r="L253" s="77">
        <v>7154</v>
      </c>
      <c r="M253" s="71">
        <f>L253</f>
        <v>7154</v>
      </c>
      <c r="N253" s="77">
        <v>7382</v>
      </c>
      <c r="O253" s="77">
        <v>7325</v>
      </c>
      <c r="P253" s="77">
        <v>7464</v>
      </c>
      <c r="Q253" s="77">
        <v>6973</v>
      </c>
      <c r="R253" s="71">
        <f>+Q253</f>
        <v>6973</v>
      </c>
      <c r="S253" s="221">
        <f>Q253*(1+(2%/4))</f>
        <v>7007.8649999999989</v>
      </c>
      <c r="T253" s="221">
        <f>S253*(1+(2%/4))</f>
        <v>7042.9043249999977</v>
      </c>
      <c r="U253" s="221">
        <f>T253*(1+(2%/4))</f>
        <v>7078.1188466249969</v>
      </c>
      <c r="V253" s="221">
        <f>U253*(1+(2%/4))</f>
        <v>7113.5094408581208</v>
      </c>
      <c r="W253" s="71">
        <f>V253</f>
        <v>7113.5094408581208</v>
      </c>
      <c r="X253" s="221">
        <f>V253*(1+(2%/4))</f>
        <v>7149.0769880624102</v>
      </c>
      <c r="Y253" s="221">
        <f>X253*(1+(2%/4))</f>
        <v>7184.8223730027212</v>
      </c>
      <c r="Z253" s="221">
        <f>Y253*(1+(2%/4))</f>
        <v>7220.7464848677337</v>
      </c>
      <c r="AA253" s="221">
        <f>Z253*(1+(2%/4))</f>
        <v>7256.8502172920716</v>
      </c>
      <c r="AB253" s="71">
        <f>AA253</f>
        <v>7256.8502172920716</v>
      </c>
      <c r="AC253" s="221">
        <f>AA253*(1+(2%/4))</f>
        <v>7293.134468378531</v>
      </c>
      <c r="AD253" s="221">
        <f>AC253*(1+(2%/4))</f>
        <v>7329.600140720423</v>
      </c>
      <c r="AE253" s="221">
        <f>AD253*(1+(2%/4))</f>
        <v>7366.2481414240247</v>
      </c>
      <c r="AF253" s="221">
        <f>AE253*(1+(2%/4))</f>
        <v>7403.0793821311436</v>
      </c>
      <c r="AG253" s="71">
        <f>AF253</f>
        <v>7403.0793821311436</v>
      </c>
      <c r="AH253" s="221">
        <f>AF253*(1+(2%/4))</f>
        <v>7440.0947790417986</v>
      </c>
      <c r="AI253" s="221">
        <f>AH253*(1+(2%/4))</f>
        <v>7477.2952529370068</v>
      </c>
      <c r="AJ253" s="221">
        <f>AI253*(1+(2%/4))</f>
        <v>7514.6817292016913</v>
      </c>
      <c r="AK253" s="221">
        <f>AJ253*(1+(2%/4))</f>
        <v>7552.2551378476992</v>
      </c>
      <c r="AL253" s="71">
        <f>AK253</f>
        <v>7552.2551378476992</v>
      </c>
      <c r="AM253" s="221">
        <f>AK253*(1+(2%/4))</f>
        <v>7590.0164135369369</v>
      </c>
      <c r="AN253" s="221">
        <f>AM253*(1+(2%/4))</f>
        <v>7627.9664956046208</v>
      </c>
      <c r="AO253" s="221">
        <f>AN253*(1+(2%/4))</f>
        <v>7666.1063280826429</v>
      </c>
      <c r="AP253" s="221">
        <f>AO253*(1+(2%/4))</f>
        <v>7704.436859723055</v>
      </c>
      <c r="AQ253" s="71">
        <f>AP253</f>
        <v>7704.436859723055</v>
      </c>
    </row>
    <row r="254" spans="1:44" ht="17.25" outlineLevel="1" x14ac:dyDescent="0.4">
      <c r="B254" s="549" t="s">
        <v>181</v>
      </c>
      <c r="C254" s="550"/>
      <c r="D254" s="78">
        <v>1267</v>
      </c>
      <c r="E254" s="78">
        <v>1135</v>
      </c>
      <c r="F254" s="78">
        <v>1266</v>
      </c>
      <c r="G254" s="78">
        <v>2939</v>
      </c>
      <c r="H254" s="76">
        <f>G254</f>
        <v>2939</v>
      </c>
      <c r="I254" s="78">
        <v>2587</v>
      </c>
      <c r="J254" s="78">
        <v>2068</v>
      </c>
      <c r="K254" s="78">
        <v>2230</v>
      </c>
      <c r="L254" s="78">
        <v>2789</v>
      </c>
      <c r="M254" s="76">
        <f>L254</f>
        <v>2789</v>
      </c>
      <c r="N254" s="78">
        <v>3011</v>
      </c>
      <c r="O254" s="78">
        <v>2785</v>
      </c>
      <c r="P254" s="78">
        <v>3115</v>
      </c>
      <c r="Q254" s="78">
        <v>3821</v>
      </c>
      <c r="R254" s="76">
        <f>Q254</f>
        <v>3821</v>
      </c>
      <c r="S254" s="219">
        <f>Q254*(1+(5%/4))</f>
        <v>3868.7624999999998</v>
      </c>
      <c r="T254" s="219">
        <f>S254*(1+(5%/4))</f>
        <v>3917.1220312499995</v>
      </c>
      <c r="U254" s="219">
        <f>T254*(1+(5%/4))</f>
        <v>3966.0860566406245</v>
      </c>
      <c r="V254" s="219">
        <f>U254*(1+(5%/4))</f>
        <v>4015.662132348632</v>
      </c>
      <c r="W254" s="76">
        <f>V254</f>
        <v>4015.662132348632</v>
      </c>
      <c r="X254" s="219">
        <f>V254*(1+(5%/4))</f>
        <v>4065.8579090029898</v>
      </c>
      <c r="Y254" s="219">
        <f>X254*(1+(5%/4))</f>
        <v>4116.6811328655267</v>
      </c>
      <c r="Z254" s="219">
        <f>Y254*(1+(5%/4))</f>
        <v>4168.1396470263453</v>
      </c>
      <c r="AA254" s="219">
        <f>Z254*(1+(5%/4))</f>
        <v>4220.2413926141744</v>
      </c>
      <c r="AB254" s="76">
        <f>AA254</f>
        <v>4220.2413926141744</v>
      </c>
      <c r="AC254" s="219">
        <f>AA254*(1+(5%/4))</f>
        <v>4272.9944100218518</v>
      </c>
      <c r="AD254" s="219">
        <f>AC254*(1+(5%/4))</f>
        <v>4326.406840147125</v>
      </c>
      <c r="AE254" s="219">
        <f>AD254*(1+(5%/4))</f>
        <v>4380.4869256489637</v>
      </c>
      <c r="AF254" s="219">
        <f>AE254*(1+(5%/4))</f>
        <v>4435.2430122195756</v>
      </c>
      <c r="AG254" s="76">
        <f>AF254</f>
        <v>4435.2430122195756</v>
      </c>
      <c r="AH254" s="219">
        <f>AF254*(1+(5%/4))</f>
        <v>4490.6835498723203</v>
      </c>
      <c r="AI254" s="219">
        <f>AH254*(1+(5%/4))</f>
        <v>4546.8170942457245</v>
      </c>
      <c r="AJ254" s="219">
        <f>AI254*(1+(5%/4))</f>
        <v>4603.6523079237959</v>
      </c>
      <c r="AK254" s="219">
        <f>AJ254*(1+(5%/4))</f>
        <v>4661.197961772843</v>
      </c>
      <c r="AL254" s="76">
        <f>AK254</f>
        <v>4661.197961772843</v>
      </c>
      <c r="AM254" s="219">
        <f>AK254*(1+(5%/4))</f>
        <v>4719.4629362950036</v>
      </c>
      <c r="AN254" s="219">
        <f>AM254*(1+(5%/4))</f>
        <v>4778.4562229986914</v>
      </c>
      <c r="AO254" s="219">
        <f>AN254*(1+(5%/4))</f>
        <v>4838.1869257861745</v>
      </c>
      <c r="AP254" s="219">
        <f>AO254*(1+(5%/4))</f>
        <v>4898.6642623585012</v>
      </c>
      <c r="AQ254" s="76">
        <f>AP254</f>
        <v>4898.6642623585012</v>
      </c>
    </row>
    <row r="255" spans="1:44" outlineLevel="1" x14ac:dyDescent="0.25">
      <c r="B255" s="583" t="s">
        <v>5</v>
      </c>
      <c r="C255" s="584"/>
      <c r="D255" s="86">
        <f t="shared" ref="D255:AQ255" si="43">+D249+D252+D253+D254</f>
        <v>37245</v>
      </c>
      <c r="E255" s="84">
        <f t="shared" si="43"/>
        <v>38371</v>
      </c>
      <c r="F255" s="86">
        <f t="shared" si="43"/>
        <v>37819</v>
      </c>
      <c r="G255" s="86">
        <f t="shared" si="43"/>
        <v>45959</v>
      </c>
      <c r="H255" s="85">
        <f t="shared" si="43"/>
        <v>45959</v>
      </c>
      <c r="I255" s="84">
        <f t="shared" si="43"/>
        <v>45575</v>
      </c>
      <c r="J255" s="86">
        <f t="shared" si="43"/>
        <v>46348</v>
      </c>
      <c r="K255" s="86">
        <f t="shared" si="43"/>
        <v>46781</v>
      </c>
      <c r="L255" s="86">
        <f t="shared" si="43"/>
        <v>48552</v>
      </c>
      <c r="M255" s="85">
        <f t="shared" si="43"/>
        <v>48552</v>
      </c>
      <c r="N255" s="86">
        <f t="shared" si="43"/>
        <v>49350</v>
      </c>
      <c r="O255" s="84">
        <f t="shared" si="43"/>
        <v>50281</v>
      </c>
      <c r="P255" s="84">
        <f t="shared" si="43"/>
        <v>51851</v>
      </c>
      <c r="Q255" s="84">
        <f t="shared" si="43"/>
        <v>52300.125785999997</v>
      </c>
      <c r="R255" s="85">
        <f t="shared" si="43"/>
        <v>52300.125785999997</v>
      </c>
      <c r="S255" s="84">
        <f t="shared" si="43"/>
        <v>53712.956106178586</v>
      </c>
      <c r="T255" s="84">
        <f t="shared" si="43"/>
        <v>56855.20223796153</v>
      </c>
      <c r="U255" s="84">
        <f t="shared" si="43"/>
        <v>57972.084974888945</v>
      </c>
      <c r="V255" s="84">
        <f t="shared" si="43"/>
        <v>60346.08996488875</v>
      </c>
      <c r="W255" s="85">
        <f t="shared" si="43"/>
        <v>60346.08996488875</v>
      </c>
      <c r="X255" s="84">
        <f t="shared" si="43"/>
        <v>61319.626265025763</v>
      </c>
      <c r="Y255" s="84">
        <f t="shared" si="43"/>
        <v>65444.654501339224</v>
      </c>
      <c r="Z255" s="84">
        <f t="shared" si="43"/>
        <v>66048.823979870329</v>
      </c>
      <c r="AA255" s="84">
        <f t="shared" si="43"/>
        <v>69356.014590027364</v>
      </c>
      <c r="AB255" s="85">
        <f t="shared" si="43"/>
        <v>69356.014590027364</v>
      </c>
      <c r="AC255" s="84">
        <f t="shared" si="43"/>
        <v>69822.002206576988</v>
      </c>
      <c r="AD255" s="84">
        <f t="shared" si="43"/>
        <v>75109.585425121797</v>
      </c>
      <c r="AE255" s="84">
        <f t="shared" si="43"/>
        <v>75167.973474086641</v>
      </c>
      <c r="AF255" s="84">
        <f t="shared" si="43"/>
        <v>79550.009783117654</v>
      </c>
      <c r="AG255" s="85">
        <f t="shared" si="43"/>
        <v>79550.009783117654</v>
      </c>
      <c r="AH255" s="84">
        <f t="shared" si="43"/>
        <v>79438.497999228814</v>
      </c>
      <c r="AI255" s="84">
        <f t="shared" si="43"/>
        <v>86050.530840941399</v>
      </c>
      <c r="AJ255" s="84">
        <f t="shared" si="43"/>
        <v>85481.997302220232</v>
      </c>
      <c r="AK255" s="84">
        <f t="shared" si="43"/>
        <v>91111.865543015912</v>
      </c>
      <c r="AL255" s="85">
        <f t="shared" si="43"/>
        <v>91111.865543015912</v>
      </c>
      <c r="AM255" s="84">
        <f t="shared" si="43"/>
        <v>90338.246318325604</v>
      </c>
      <c r="AN255" s="84">
        <f t="shared" si="43"/>
        <v>98450.197441380325</v>
      </c>
      <c r="AO255" s="84">
        <f t="shared" si="43"/>
        <v>97159.098546828289</v>
      </c>
      <c r="AP255" s="84">
        <f t="shared" si="43"/>
        <v>104201.12761277346</v>
      </c>
      <c r="AQ255" s="85">
        <f t="shared" si="43"/>
        <v>104201.12761277346</v>
      </c>
    </row>
    <row r="256" spans="1:44" ht="15.75" x14ac:dyDescent="0.25">
      <c r="B256" s="532" t="s">
        <v>7</v>
      </c>
      <c r="C256" s="540"/>
      <c r="D256" s="67" t="s">
        <v>52</v>
      </c>
      <c r="E256" s="67" t="s">
        <v>55</v>
      </c>
      <c r="F256" s="67" t="s">
        <v>56</v>
      </c>
      <c r="G256" s="67" t="s">
        <v>60</v>
      </c>
      <c r="H256" s="403" t="s">
        <v>61</v>
      </c>
      <c r="I256" s="67" t="s">
        <v>62</v>
      </c>
      <c r="J256" s="67" t="s">
        <v>73</v>
      </c>
      <c r="K256" s="67" t="s">
        <v>77</v>
      </c>
      <c r="L256" s="67" t="s">
        <v>81</v>
      </c>
      <c r="M256" s="403" t="s">
        <v>82</v>
      </c>
      <c r="N256" s="67" t="s">
        <v>83</v>
      </c>
      <c r="O256" s="67" t="s">
        <v>84</v>
      </c>
      <c r="P256" s="67" t="s">
        <v>85</v>
      </c>
      <c r="Q256" s="67" t="s">
        <v>86</v>
      </c>
      <c r="R256" s="403" t="s">
        <v>87</v>
      </c>
      <c r="S256" s="69" t="s">
        <v>344</v>
      </c>
      <c r="T256" s="69" t="s">
        <v>345</v>
      </c>
      <c r="U256" s="69" t="s">
        <v>346</v>
      </c>
      <c r="V256" s="69" t="s">
        <v>347</v>
      </c>
      <c r="W256" s="407" t="s">
        <v>348</v>
      </c>
      <c r="X256" s="69" t="s">
        <v>349</v>
      </c>
      <c r="Y256" s="69" t="s">
        <v>350</v>
      </c>
      <c r="Z256" s="69" t="s">
        <v>351</v>
      </c>
      <c r="AA256" s="69" t="s">
        <v>352</v>
      </c>
      <c r="AB256" s="407" t="s">
        <v>353</v>
      </c>
      <c r="AC256" s="69" t="s">
        <v>354</v>
      </c>
      <c r="AD256" s="69" t="s">
        <v>355</v>
      </c>
      <c r="AE256" s="69" t="s">
        <v>356</v>
      </c>
      <c r="AF256" s="69" t="s">
        <v>357</v>
      </c>
      <c r="AG256" s="407" t="s">
        <v>358</v>
      </c>
      <c r="AH256" s="69" t="s">
        <v>359</v>
      </c>
      <c r="AI256" s="69" t="s">
        <v>360</v>
      </c>
      <c r="AJ256" s="69" t="s">
        <v>361</v>
      </c>
      <c r="AK256" s="69" t="s">
        <v>362</v>
      </c>
      <c r="AL256" s="407" t="s">
        <v>363</v>
      </c>
      <c r="AM256" s="69" t="s">
        <v>364</v>
      </c>
      <c r="AN256" s="69" t="s">
        <v>365</v>
      </c>
      <c r="AO256" s="69" t="s">
        <v>366</v>
      </c>
      <c r="AP256" s="69" t="s">
        <v>367</v>
      </c>
      <c r="AQ256" s="407" t="s">
        <v>368</v>
      </c>
    </row>
    <row r="257" spans="2:43" outlineLevel="1" x14ac:dyDescent="0.25">
      <c r="B257" s="155" t="s">
        <v>182</v>
      </c>
      <c r="C257" s="295"/>
      <c r="D257" s="377"/>
      <c r="E257" s="377"/>
      <c r="F257" s="377"/>
      <c r="G257" s="377"/>
      <c r="H257" s="378"/>
      <c r="I257" s="377"/>
      <c r="J257" s="377"/>
      <c r="K257" s="377"/>
      <c r="L257" s="377"/>
      <c r="M257" s="378"/>
      <c r="N257" s="377">
        <v>0</v>
      </c>
      <c r="O257" s="377">
        <v>250</v>
      </c>
      <c r="P257" s="377">
        <v>799</v>
      </c>
      <c r="Q257" s="377">
        <v>0</v>
      </c>
      <c r="R257" s="378">
        <f>Q257</f>
        <v>0</v>
      </c>
      <c r="S257" s="377">
        <f>+S283*S298*S299</f>
        <v>0</v>
      </c>
      <c r="T257" s="377">
        <f>+T283*T298*T299</f>
        <v>0</v>
      </c>
      <c r="U257" s="377">
        <f>+U283*U298*U299</f>
        <v>0</v>
      </c>
      <c r="V257" s="377">
        <f>+V283*V298*V299</f>
        <v>0</v>
      </c>
      <c r="W257" s="378">
        <f>V257</f>
        <v>0</v>
      </c>
      <c r="X257" s="377">
        <f>+X283*X298*X299</f>
        <v>0</v>
      </c>
      <c r="Y257" s="377">
        <f>+Y283*Y298*Y299</f>
        <v>0</v>
      </c>
      <c r="Z257" s="377">
        <f>+Z283*Z298*Z299</f>
        <v>0</v>
      </c>
      <c r="AA257" s="377">
        <f>+AA283*AA298*AA299</f>
        <v>0</v>
      </c>
      <c r="AB257" s="378">
        <f>AA257</f>
        <v>0</v>
      </c>
      <c r="AC257" s="377">
        <f>+AC283*AC298*AC299</f>
        <v>0</v>
      </c>
      <c r="AD257" s="377">
        <f>+AD283*AD298*AD299</f>
        <v>0</v>
      </c>
      <c r="AE257" s="377">
        <f>+AE283*AE298*AE299</f>
        <v>0</v>
      </c>
      <c r="AF257" s="377">
        <f>+AF283*AF298*AF299</f>
        <v>0</v>
      </c>
      <c r="AG257" s="378">
        <f>AF257</f>
        <v>0</v>
      </c>
      <c r="AH257" s="377">
        <f>+AH283*AH298*AH299</f>
        <v>0</v>
      </c>
      <c r="AI257" s="377">
        <f>+AI283*AI298*AI299</f>
        <v>0</v>
      </c>
      <c r="AJ257" s="377">
        <f>+AJ283*AJ298*AJ299</f>
        <v>0</v>
      </c>
      <c r="AK257" s="377">
        <f>+AK283*AK298*AK299</f>
        <v>0</v>
      </c>
      <c r="AL257" s="378">
        <f>AK257</f>
        <v>0</v>
      </c>
      <c r="AM257" s="377">
        <f>+AM283*AM298*AM299</f>
        <v>0</v>
      </c>
      <c r="AN257" s="377">
        <f>+AN283*AN298*AN299</f>
        <v>0</v>
      </c>
      <c r="AO257" s="377">
        <f>+AO283*AO298*AO299</f>
        <v>0</v>
      </c>
      <c r="AP257" s="377">
        <f>+AP283*AP298*AP299</f>
        <v>0</v>
      </c>
      <c r="AQ257" s="378">
        <f>AP257</f>
        <v>0</v>
      </c>
    </row>
    <row r="258" spans="2:43" outlineLevel="1" x14ac:dyDescent="0.25">
      <c r="B258" s="553" t="s">
        <v>183</v>
      </c>
      <c r="C258" s="554"/>
      <c r="D258" s="377">
        <v>14</v>
      </c>
      <c r="E258" s="377">
        <v>14</v>
      </c>
      <c r="F258" s="377">
        <v>11</v>
      </c>
      <c r="G258" s="377">
        <v>29</v>
      </c>
      <c r="H258" s="378">
        <f>G258</f>
        <v>29</v>
      </c>
      <c r="I258" s="377">
        <v>47</v>
      </c>
      <c r="J258" s="377">
        <v>43</v>
      </c>
      <c r="K258" s="377">
        <v>45</v>
      </c>
      <c r="L258" s="377">
        <v>22</v>
      </c>
      <c r="M258" s="378">
        <f>L258</f>
        <v>22</v>
      </c>
      <c r="N258" s="377">
        <v>19</v>
      </c>
      <c r="O258" s="377">
        <v>11</v>
      </c>
      <c r="P258" s="377">
        <v>764</v>
      </c>
      <c r="Q258" s="377">
        <v>1342</v>
      </c>
      <c r="R258" s="378">
        <f>Q258</f>
        <v>1342</v>
      </c>
      <c r="S258" s="377">
        <f>+S283*S298*S300</f>
        <v>1420.2219886259516</v>
      </c>
      <c r="T258" s="377">
        <f>+T283*T298*T300</f>
        <v>1506.8654058808938</v>
      </c>
      <c r="U258" s="377">
        <f>+U283*U298*U300</f>
        <v>1593.44896310386</v>
      </c>
      <c r="V258" s="377">
        <f>+V283*V298*V300</f>
        <v>1702.4807203056716</v>
      </c>
      <c r="W258" s="378">
        <f>V258</f>
        <v>1702.4807203056716</v>
      </c>
      <c r="X258" s="377">
        <f>+X283*X298*X300</f>
        <v>1791.8773669211364</v>
      </c>
      <c r="Y258" s="377">
        <f>+Y283*Y298*Y300</f>
        <v>1894.4133673381691</v>
      </c>
      <c r="Z258" s="377">
        <f>+Z283*Z298*Z300</f>
        <v>1999.6780474933803</v>
      </c>
      <c r="AA258" s="377">
        <f>+AA283*AA298*AA300</f>
        <v>2119.4811366717595</v>
      </c>
      <c r="AB258" s="378">
        <f>AA258</f>
        <v>2119.4811366717595</v>
      </c>
      <c r="AC258" s="377">
        <f>+AC283*AC298*AC300</f>
        <v>2225.1159595452627</v>
      </c>
      <c r="AD258" s="377">
        <f>+AD283*AD298*AD300</f>
        <v>2346.1903747208207</v>
      </c>
      <c r="AE258" s="377">
        <f>+AE283*AE298*AE300</f>
        <v>2470.4259369476149</v>
      </c>
      <c r="AF258" s="377">
        <f>+AF283*AF298*AF300</f>
        <v>2607.3730049662595</v>
      </c>
      <c r="AG258" s="378">
        <f>AF258</f>
        <v>2607.3730049662595</v>
      </c>
      <c r="AH258" s="377">
        <f>+AH283*AH298*AH300</f>
        <v>2731.6613071273491</v>
      </c>
      <c r="AI258" s="377">
        <f>+AI283*AI298*AI300</f>
        <v>2873.2403864532498</v>
      </c>
      <c r="AJ258" s="377">
        <f>+AJ283*AJ298*AJ300</f>
        <v>3018.2643396519093</v>
      </c>
      <c r="AK258" s="377">
        <f>+AK283*AK298*AK300</f>
        <v>3177.0817002813992</v>
      </c>
      <c r="AL258" s="378">
        <f>AK258</f>
        <v>3177.0817002813992</v>
      </c>
      <c r="AM258" s="377">
        <f>+AM283*AM298*AM300</f>
        <v>3322.2360119396685</v>
      </c>
      <c r="AN258" s="377">
        <f>+AN283*AN298*AN300</f>
        <v>3486.6256432519758</v>
      </c>
      <c r="AO258" s="377">
        <f>+AO283*AO298*AO300</f>
        <v>3654.7461547409848</v>
      </c>
      <c r="AP258" s="377">
        <f>+AP283*AP298*AP300</f>
        <v>3837.8983263425835</v>
      </c>
      <c r="AQ258" s="378">
        <f>AP258</f>
        <v>3837.8983263425835</v>
      </c>
    </row>
    <row r="259" spans="2:43" outlineLevel="1" x14ac:dyDescent="0.25">
      <c r="B259" s="155" t="s">
        <v>184</v>
      </c>
      <c r="C259" s="105"/>
      <c r="D259" s="377">
        <v>1355</v>
      </c>
      <c r="E259" s="377">
        <v>1510</v>
      </c>
      <c r="F259" s="377">
        <v>1451</v>
      </c>
      <c r="G259" s="377">
        <v>1972</v>
      </c>
      <c r="H259" s="378">
        <f>G259</f>
        <v>1972</v>
      </c>
      <c r="I259" s="377">
        <v>1603</v>
      </c>
      <c r="J259" s="377">
        <v>1765</v>
      </c>
      <c r="K259" s="377">
        <v>1690</v>
      </c>
      <c r="L259" s="377">
        <v>1914</v>
      </c>
      <c r="M259" s="378">
        <f>L259</f>
        <v>1914</v>
      </c>
      <c r="N259" s="377">
        <v>1656</v>
      </c>
      <c r="O259" s="377">
        <v>1912</v>
      </c>
      <c r="P259" s="377">
        <v>1945</v>
      </c>
      <c r="Q259" s="377">
        <v>2177</v>
      </c>
      <c r="R259" s="378">
        <f>Q259</f>
        <v>2177</v>
      </c>
      <c r="S259" s="117">
        <f>(S15*(S292)+Q259)/2</f>
        <v>2051.6297816290567</v>
      </c>
      <c r="T259" s="117">
        <f t="shared" ref="T259:V259" si="44">(T15*(T292)+R259)/2</f>
        <v>2062.2016919545999</v>
      </c>
      <c r="U259" s="117">
        <f t="shared" si="44"/>
        <v>2067.0365054338949</v>
      </c>
      <c r="V259" s="117">
        <f t="shared" si="44"/>
        <v>2199.3612390141047</v>
      </c>
      <c r="W259" s="378">
        <f>V259</f>
        <v>2199.3612390141047</v>
      </c>
      <c r="X259" s="117">
        <f>(X15*(X292)+V259)/2</f>
        <v>2147.6029250204801</v>
      </c>
      <c r="Y259" s="117">
        <f t="shared" ref="Y259" si="45">(Y15*(Y292)+W259)/2</f>
        <v>2162.1715613965525</v>
      </c>
      <c r="Z259" s="117">
        <f t="shared" ref="Z259" si="46">(Z15*(Z292)+X259)/2</f>
        <v>2210.1370543450294</v>
      </c>
      <c r="AA259" s="117">
        <f t="shared" ref="AA259" si="47">(AA15*(AA292)+Y259)/2</f>
        <v>2360.3134749599553</v>
      </c>
      <c r="AB259" s="378">
        <f>AA259</f>
        <v>2360.3134749599553</v>
      </c>
      <c r="AC259" s="117">
        <f>(AC15*(AC292)+AA259)/2</f>
        <v>2324.4464367876817</v>
      </c>
      <c r="AD259" s="117">
        <f t="shared" ref="AD259" si="48">(AD15*(AD292)+AB259)/2</f>
        <v>2342.2433191151513</v>
      </c>
      <c r="AE259" s="117">
        <f t="shared" ref="AE259" si="49">(AE15*(AE292)+AC259)/2</f>
        <v>2405.5723381633634</v>
      </c>
      <c r="AF259" s="117">
        <f t="shared" ref="AF259" si="50">(AF15*(AF292)+AD259)/2</f>
        <v>2572.0931423773332</v>
      </c>
      <c r="AG259" s="378">
        <f>AF259</f>
        <v>2572.0931423773332</v>
      </c>
      <c r="AH259" s="117">
        <f>(AH15*(AH292)+AF259)/2</f>
        <v>2538.4515032212535</v>
      </c>
      <c r="AI259" s="117">
        <f t="shared" ref="AI259" si="51">(AI15*(AI292)+AG259)/2</f>
        <v>2559.4279365843495</v>
      </c>
      <c r="AJ259" s="117">
        <f t="shared" ref="AJ259" si="52">(AJ15*(AJ292)+AH259)/2</f>
        <v>2631.965174717714</v>
      </c>
      <c r="AK259" s="117">
        <f t="shared" ref="AK259" si="53">(AK15*(AK292)+AI259)/2</f>
        <v>2816.1448722155747</v>
      </c>
      <c r="AL259" s="378">
        <f>AK259</f>
        <v>2816.1448722155747</v>
      </c>
      <c r="AM259" s="117">
        <f>(AM15*(AM292)+AK259)/2</f>
        <v>2781.2044807363354</v>
      </c>
      <c r="AN259" s="117">
        <f t="shared" ref="AN259" si="54">(AN15*(AN292)+AL259)/2</f>
        <v>2805.6604641155554</v>
      </c>
      <c r="AO259" s="117">
        <f t="shared" ref="AO259" si="55">(AO15*(AO292)+AM259)/2</f>
        <v>2886.5766501896514</v>
      </c>
      <c r="AP259" s="117">
        <f t="shared" ref="AP259" si="56">(AP15*(AP292)+AN259)/2</f>
        <v>3090.5773880702818</v>
      </c>
      <c r="AQ259" s="378">
        <f>AP259</f>
        <v>3090.5773880702818</v>
      </c>
    </row>
    <row r="260" spans="2:43" s="88" customFormat="1" outlineLevel="1" x14ac:dyDescent="0.25">
      <c r="B260" s="553" t="s">
        <v>38</v>
      </c>
      <c r="C260" s="554"/>
      <c r="D260" s="377">
        <v>2049</v>
      </c>
      <c r="E260" s="377">
        <v>2129</v>
      </c>
      <c r="F260" s="377">
        <v>2024</v>
      </c>
      <c r="G260" s="377">
        <v>2944</v>
      </c>
      <c r="H260" s="378">
        <f>G260</f>
        <v>2944</v>
      </c>
      <c r="I260" s="377">
        <v>2851</v>
      </c>
      <c r="J260" s="377">
        <v>2954</v>
      </c>
      <c r="K260" s="377">
        <v>2707</v>
      </c>
      <c r="L260" s="377">
        <v>2752</v>
      </c>
      <c r="M260" s="378">
        <f>L260</f>
        <v>2752</v>
      </c>
      <c r="N260" s="377">
        <v>2938</v>
      </c>
      <c r="O260" s="377">
        <v>3147</v>
      </c>
      <c r="P260" s="377">
        <v>3102</v>
      </c>
      <c r="Q260" s="377">
        <v>2996</v>
      </c>
      <c r="R260" s="378">
        <f>Q260</f>
        <v>2996</v>
      </c>
      <c r="S260" s="377">
        <f>(S23/S293*2)-Q260</f>
        <v>3144.2895882009334</v>
      </c>
      <c r="T260" s="377">
        <f>(T23/T293*2)-S260</f>
        <v>3498.0588372965331</v>
      </c>
      <c r="U260" s="377">
        <f>(U23/U293*2)-T260</f>
        <v>3249.7699101822564</v>
      </c>
      <c r="V260" s="377">
        <f>(V23/V293*2)-U260</f>
        <v>3663.4293879627548</v>
      </c>
      <c r="W260" s="378">
        <f>V260</f>
        <v>3663.4293879627548</v>
      </c>
      <c r="X260" s="377">
        <f>(X23/X293*2)-V260</f>
        <v>3017.4422292601057</v>
      </c>
      <c r="Y260" s="377">
        <f>(Y23/Y293*2)-X260</f>
        <v>4230.6041624412483</v>
      </c>
      <c r="Z260" s="377">
        <f>(Z23/Z293*2)-Y260</f>
        <v>3133.6282600379827</v>
      </c>
      <c r="AA260" s="377">
        <f>(AA23/AA293*2)-Z260</f>
        <v>4436.2217929534954</v>
      </c>
      <c r="AB260" s="378">
        <f>AA260</f>
        <v>4436.2217929534954</v>
      </c>
      <c r="AC260" s="377">
        <f>(AC23/AC293*2)-AA260</f>
        <v>2859.0257017925387</v>
      </c>
      <c r="AD260" s="377">
        <f>(AD23/AD293*2)-AC260</f>
        <v>5068.4371336895592</v>
      </c>
      <c r="AE260" s="377">
        <f>(AE23/AE293*2)-AD260</f>
        <v>2989.3161973342903</v>
      </c>
      <c r="AF260" s="377">
        <f>(AF23/AF293*2)-AE260</f>
        <v>5300.9546442327937</v>
      </c>
      <c r="AG260" s="378">
        <f>AF260</f>
        <v>5300.9546442327937</v>
      </c>
      <c r="AH260" s="377">
        <f>(AH23/AH293*2)-AF260</f>
        <v>2683.5653146080112</v>
      </c>
      <c r="AI260" s="377">
        <f>(AI23/AI293*2)-AH260</f>
        <v>6003.1225872224059</v>
      </c>
      <c r="AJ260" s="377">
        <f>(AJ23/AJ293*2)-AI260</f>
        <v>2828.3616284853324</v>
      </c>
      <c r="AK260" s="377">
        <f>(AK23/AK293*2)-AJ260</f>
        <v>6263.4924735281475</v>
      </c>
      <c r="AL260" s="378">
        <f>AK260</f>
        <v>6263.4924735281475</v>
      </c>
      <c r="AM260" s="377">
        <f>(AM23/AM293*2)-AK260</f>
        <v>2490.7050995098798</v>
      </c>
      <c r="AN260" s="377">
        <f>(AN23/AN293*2)-AM260</f>
        <v>7043.2894637493901</v>
      </c>
      <c r="AO260" s="377">
        <f>(AO23/AO293*2)-AN260</f>
        <v>2651.648661191708</v>
      </c>
      <c r="AP260" s="377">
        <f>(AP23/AP293*2)-AO260</f>
        <v>7335.6217486717069</v>
      </c>
      <c r="AQ260" s="378">
        <f>AP260</f>
        <v>7335.6217486717069</v>
      </c>
    </row>
    <row r="261" spans="2:43" ht="17.25" outlineLevel="1" x14ac:dyDescent="0.4">
      <c r="B261" s="553" t="s">
        <v>39</v>
      </c>
      <c r="C261" s="554"/>
      <c r="D261" s="379">
        <v>2426</v>
      </c>
      <c r="E261" s="379">
        <v>2298</v>
      </c>
      <c r="F261" s="379">
        <v>2453</v>
      </c>
      <c r="G261" s="379">
        <v>3063</v>
      </c>
      <c r="H261" s="380">
        <f>G261</f>
        <v>3063</v>
      </c>
      <c r="I261" s="379">
        <v>2973</v>
      </c>
      <c r="J261" s="379">
        <v>3045</v>
      </c>
      <c r="K261" s="379">
        <v>3008</v>
      </c>
      <c r="L261" s="379">
        <v>3230</v>
      </c>
      <c r="M261" s="380">
        <f>L261</f>
        <v>3230</v>
      </c>
      <c r="N261" s="379">
        <v>3177</v>
      </c>
      <c r="O261" s="379">
        <v>2907</v>
      </c>
      <c r="P261" s="379">
        <v>2893</v>
      </c>
      <c r="Q261" s="379">
        <v>3082</v>
      </c>
      <c r="R261" s="380">
        <f>Q261</f>
        <v>3082</v>
      </c>
      <c r="S261" s="219">
        <f>(S13*S295+Q261)/2</f>
        <v>3278.421142778494</v>
      </c>
      <c r="T261" s="219">
        <f>(T13*T295+S261)/2</f>
        <v>3301.2293773616839</v>
      </c>
      <c r="U261" s="219">
        <f t="shared" ref="U261:V261" si="57">(U13*U295+T261)/2</f>
        <v>3238.8021282451164</v>
      </c>
      <c r="V261" s="219">
        <f t="shared" si="57"/>
        <v>3252.743307464285</v>
      </c>
      <c r="W261" s="380">
        <f>V261</f>
        <v>3252.743307464285</v>
      </c>
      <c r="X261" s="219">
        <f>(X13*X295+V261)/2</f>
        <v>3524.5355034268032</v>
      </c>
      <c r="Y261" s="219">
        <f>(Y13*Y295+X261)/2</f>
        <v>3582.3380511690666</v>
      </c>
      <c r="Z261" s="219">
        <f t="shared" ref="Z261:AA261" si="58">(Z13*Z295+Y261)/2</f>
        <v>3530.6981481822149</v>
      </c>
      <c r="AA261" s="219">
        <f t="shared" si="58"/>
        <v>3554.516620736902</v>
      </c>
      <c r="AB261" s="380">
        <f>AA261</f>
        <v>3554.516620736902</v>
      </c>
      <c r="AC261" s="219">
        <f>(AC13*AC295+AA261)/2</f>
        <v>3856.3036755604517</v>
      </c>
      <c r="AD261" s="219">
        <f>(AD13*AD295+AC261)/2</f>
        <v>3923.9782756697819</v>
      </c>
      <c r="AE261" s="219">
        <f t="shared" ref="AE261:AF261" si="59">(AE13*AE295+AD261)/2</f>
        <v>3869.7246450719736</v>
      </c>
      <c r="AF261" s="219">
        <f t="shared" si="59"/>
        <v>3898.0405571753063</v>
      </c>
      <c r="AG261" s="380">
        <f>AF261</f>
        <v>3898.0405571753063</v>
      </c>
      <c r="AH261" s="219">
        <f>(AH13*AH295+AF261)/2</f>
        <v>4230.0257881660773</v>
      </c>
      <c r="AI261" s="219">
        <f>(AI13*AI295+AH261)/2</f>
        <v>4306.7658381762503</v>
      </c>
      <c r="AJ261" s="219">
        <f t="shared" ref="AJ261:AK261" si="60">(AJ13*AJ295+AI261)/2</f>
        <v>4248.6832424374079</v>
      </c>
      <c r="AK261" s="219">
        <f t="shared" si="60"/>
        <v>4281.7818832690009</v>
      </c>
      <c r="AL261" s="380">
        <f>AK261</f>
        <v>4281.7818832690009</v>
      </c>
      <c r="AM261" s="219">
        <f>(AM13*AM295+AK261)/2</f>
        <v>4647.2532006894362</v>
      </c>
      <c r="AN261" s="219">
        <f>(AN13*AN295+AM261)/2</f>
        <v>4734.0499180250245</v>
      </c>
      <c r="AO261" s="219">
        <f t="shared" ref="AO261:AP261" si="61">(AO13*AO295+AN261)/2</f>
        <v>4671.6559238709888</v>
      </c>
      <c r="AP261" s="219">
        <f t="shared" si="61"/>
        <v>4710.2033983097135</v>
      </c>
      <c r="AQ261" s="380">
        <f>AP261</f>
        <v>4710.2033983097135</v>
      </c>
    </row>
    <row r="262" spans="2:43" outlineLevel="1" x14ac:dyDescent="0.25">
      <c r="B262" s="551" t="s">
        <v>8</v>
      </c>
      <c r="C262" s="552"/>
      <c r="D262" s="364">
        <f t="shared" ref="D262:AQ262" si="62">SUM(D257:D261)</f>
        <v>5844</v>
      </c>
      <c r="E262" s="364">
        <f t="shared" si="62"/>
        <v>5951</v>
      </c>
      <c r="F262" s="364">
        <f t="shared" si="62"/>
        <v>5939</v>
      </c>
      <c r="G262" s="364">
        <f t="shared" si="62"/>
        <v>8008</v>
      </c>
      <c r="H262" s="365">
        <f t="shared" si="62"/>
        <v>8008</v>
      </c>
      <c r="I262" s="364">
        <f t="shared" si="62"/>
        <v>7474</v>
      </c>
      <c r="J262" s="364">
        <f t="shared" si="62"/>
        <v>7807</v>
      </c>
      <c r="K262" s="364">
        <f t="shared" si="62"/>
        <v>7450</v>
      </c>
      <c r="L262" s="364">
        <f t="shared" si="62"/>
        <v>7918</v>
      </c>
      <c r="M262" s="365">
        <f t="shared" si="62"/>
        <v>7918</v>
      </c>
      <c r="N262" s="364">
        <f t="shared" si="62"/>
        <v>7790</v>
      </c>
      <c r="O262" s="364">
        <f t="shared" si="62"/>
        <v>8227</v>
      </c>
      <c r="P262" s="364">
        <f t="shared" si="62"/>
        <v>9503</v>
      </c>
      <c r="Q262" s="364">
        <f t="shared" si="62"/>
        <v>9597</v>
      </c>
      <c r="R262" s="365">
        <f t="shared" si="62"/>
        <v>9597</v>
      </c>
      <c r="S262" s="364">
        <f t="shared" si="62"/>
        <v>9894.5625012344353</v>
      </c>
      <c r="T262" s="364">
        <f t="shared" si="62"/>
        <v>10368.35531249371</v>
      </c>
      <c r="U262" s="364">
        <f t="shared" si="62"/>
        <v>10149.057506965128</v>
      </c>
      <c r="V262" s="364">
        <f t="shared" si="62"/>
        <v>10818.014654746816</v>
      </c>
      <c r="W262" s="365">
        <f t="shared" si="62"/>
        <v>10818.014654746816</v>
      </c>
      <c r="X262" s="364">
        <f t="shared" si="62"/>
        <v>10481.458024628526</v>
      </c>
      <c r="Y262" s="364">
        <f t="shared" si="62"/>
        <v>11869.527142345036</v>
      </c>
      <c r="Z262" s="364">
        <f t="shared" si="62"/>
        <v>10874.141510058607</v>
      </c>
      <c r="AA262" s="364">
        <f t="shared" si="62"/>
        <v>12470.533025322113</v>
      </c>
      <c r="AB262" s="365">
        <f t="shared" si="62"/>
        <v>12470.533025322113</v>
      </c>
      <c r="AC262" s="364">
        <f t="shared" si="62"/>
        <v>11264.891773685935</v>
      </c>
      <c r="AD262" s="364">
        <f t="shared" si="62"/>
        <v>13680.849103195313</v>
      </c>
      <c r="AE262" s="364">
        <f t="shared" si="62"/>
        <v>11735.039117517243</v>
      </c>
      <c r="AF262" s="364">
        <f t="shared" si="62"/>
        <v>14378.461348751694</v>
      </c>
      <c r="AG262" s="365">
        <f t="shared" si="62"/>
        <v>14378.461348751694</v>
      </c>
      <c r="AH262" s="364">
        <f t="shared" si="62"/>
        <v>12183.703913122692</v>
      </c>
      <c r="AI262" s="364">
        <f t="shared" si="62"/>
        <v>15742.556748436256</v>
      </c>
      <c r="AJ262" s="364">
        <f t="shared" si="62"/>
        <v>12727.274385292363</v>
      </c>
      <c r="AK262" s="364">
        <f t="shared" si="62"/>
        <v>16538.500929294125</v>
      </c>
      <c r="AL262" s="365">
        <f t="shared" si="62"/>
        <v>16538.500929294125</v>
      </c>
      <c r="AM262" s="364">
        <f t="shared" si="62"/>
        <v>13241.398792875319</v>
      </c>
      <c r="AN262" s="364">
        <f t="shared" si="62"/>
        <v>18069.625489141945</v>
      </c>
      <c r="AO262" s="364">
        <f t="shared" si="62"/>
        <v>13864.627389993333</v>
      </c>
      <c r="AP262" s="364">
        <f t="shared" si="62"/>
        <v>18974.300861394287</v>
      </c>
      <c r="AQ262" s="365">
        <f t="shared" si="62"/>
        <v>18974.300861394287</v>
      </c>
    </row>
    <row r="263" spans="2:43" ht="15.75" customHeight="1" outlineLevel="1" x14ac:dyDescent="0.25">
      <c r="B263" s="581" t="s">
        <v>185</v>
      </c>
      <c r="C263" s="582"/>
      <c r="D263" s="377">
        <v>7244</v>
      </c>
      <c r="E263" s="377">
        <v>8481</v>
      </c>
      <c r="F263" s="377">
        <v>8477</v>
      </c>
      <c r="G263" s="377">
        <v>13733</v>
      </c>
      <c r="H263" s="378">
        <f t="shared" ref="H263:H269" si="63">G263</f>
        <v>13733</v>
      </c>
      <c r="I263" s="377">
        <v>13735</v>
      </c>
      <c r="J263" s="377">
        <v>13553</v>
      </c>
      <c r="K263" s="377">
        <v>14713</v>
      </c>
      <c r="L263" s="377">
        <v>14909</v>
      </c>
      <c r="M263" s="378">
        <f t="shared" ref="M263:M269" si="64">L263</f>
        <v>14909</v>
      </c>
      <c r="N263" s="377">
        <v>15137</v>
      </c>
      <c r="O263" s="377">
        <v>15180</v>
      </c>
      <c r="P263" s="377">
        <v>16017</v>
      </c>
      <c r="Q263" s="377">
        <v>15243</v>
      </c>
      <c r="R263" s="378">
        <f t="shared" ref="R263:R269" si="65">Q263</f>
        <v>15243</v>
      </c>
      <c r="S263" s="377">
        <f>+S283*S298*(1-(S299+S300))</f>
        <v>16131.478221032325</v>
      </c>
      <c r="T263" s="377">
        <f>+T283*T298*(1-(T299+T300))</f>
        <v>17115.610567691852</v>
      </c>
      <c r="U263" s="377">
        <f>+U283*U298*(1-(U299+U300))</f>
        <v>18099.062998950922</v>
      </c>
      <c r="V263" s="377">
        <f>+V283*V298*(1-(V299+V300))</f>
        <v>19337.491519835581</v>
      </c>
      <c r="W263" s="378">
        <f>V263</f>
        <v>19337.491519835581</v>
      </c>
      <c r="X263" s="377">
        <f>+X283*X298*(1-(X299+X300))</f>
        <v>20352.896202666827</v>
      </c>
      <c r="Y263" s="377">
        <f>+Y283*Y298*(1-(Y299+Y300))</f>
        <v>21517.543188029591</v>
      </c>
      <c r="Z263" s="377">
        <f>+Z283*Z298*(1-(Z299+Z300))</f>
        <v>22713.183664636061</v>
      </c>
      <c r="AA263" s="377">
        <f>+AA283*AA298*(1-(AA299+AA300))</f>
        <v>24073.957500959488</v>
      </c>
      <c r="AB263" s="378">
        <f>AA263</f>
        <v>24073.957500959488</v>
      </c>
      <c r="AC263" s="377">
        <f>+AC283*AC298*(1-(AC299+AC300))</f>
        <v>25273.802214119551</v>
      </c>
      <c r="AD263" s="377">
        <f>+AD283*AD298*(1-(AD299+AD300))</f>
        <v>26649.016305416895</v>
      </c>
      <c r="AE263" s="377">
        <f>+AE283*AE298*(1-(AE299+AE300))</f>
        <v>28060.13603345193</v>
      </c>
      <c r="AF263" s="377">
        <f>+AF283*AF298*(1-(AF299+AF300))</f>
        <v>29615.638386513183</v>
      </c>
      <c r="AG263" s="378">
        <f>AF263</f>
        <v>29615.638386513183</v>
      </c>
      <c r="AH263" s="377">
        <f>+AH283*AH298*(1-(AH299+AH300))</f>
        <v>31027.357156886868</v>
      </c>
      <c r="AI263" s="377">
        <f>+AI283*AI298*(1-(AI299+AI300))</f>
        <v>32635.471841063252</v>
      </c>
      <c r="AJ263" s="377">
        <f>+AJ283*AJ298*(1-(AJ299+AJ300))</f>
        <v>34282.71485045756</v>
      </c>
      <c r="AK263" s="377">
        <f>+AK283*AK298*(1-(AK299+AK300))</f>
        <v>36086.629178382536</v>
      </c>
      <c r="AL263" s="378">
        <f>AK263</f>
        <v>36086.629178382536</v>
      </c>
      <c r="AM263" s="377">
        <f>+AM283*AM298*(1-(AM299+AM300))</f>
        <v>37735.352853946621</v>
      </c>
      <c r="AN263" s="377">
        <f>+AN283*AN298*(1-(AN299+AN300))</f>
        <v>39602.559374135519</v>
      </c>
      <c r="AO263" s="377">
        <f>+AO283*AO298*(1-(AO299+AO300))</f>
        <v>41512.142799341898</v>
      </c>
      <c r="AP263" s="377">
        <f>+AP283*AP298*(1-(AP299+AP300))</f>
        <v>43592.462137436662</v>
      </c>
      <c r="AQ263" s="378">
        <f>AP263</f>
        <v>43592.462137436662</v>
      </c>
    </row>
    <row r="264" spans="2:43" ht="15.75" customHeight="1" outlineLevel="1" x14ac:dyDescent="0.25">
      <c r="B264" s="381" t="s">
        <v>179</v>
      </c>
      <c r="C264" s="382"/>
      <c r="D264" s="377">
        <v>1781</v>
      </c>
      <c r="E264" s="377">
        <v>1759</v>
      </c>
      <c r="F264" s="377">
        <v>2046</v>
      </c>
      <c r="G264" s="377">
        <v>1567</v>
      </c>
      <c r="H264" s="378">
        <f t="shared" si="63"/>
        <v>1567</v>
      </c>
      <c r="I264" s="377">
        <v>1762</v>
      </c>
      <c r="J264" s="377">
        <v>2148</v>
      </c>
      <c r="K264" s="377">
        <v>2299</v>
      </c>
      <c r="L264" s="377">
        <v>2485</v>
      </c>
      <c r="M264" s="378">
        <f t="shared" si="64"/>
        <v>2485</v>
      </c>
      <c r="N264" s="377">
        <v>2730</v>
      </c>
      <c r="O264" s="377">
        <v>3088</v>
      </c>
      <c r="P264" s="377">
        <v>2401</v>
      </c>
      <c r="Q264" s="377">
        <v>2867</v>
      </c>
      <c r="R264" s="378">
        <f t="shared" si="65"/>
        <v>2867</v>
      </c>
      <c r="S264" s="221">
        <f>Q264*1.038</f>
        <v>2975.9459999999999</v>
      </c>
      <c r="T264" s="221">
        <f>+S264*1.038</f>
        <v>3089.0319479999998</v>
      </c>
      <c r="U264" s="221">
        <f>+T264*1.038</f>
        <v>3206.415162024</v>
      </c>
      <c r="V264" s="221">
        <f>+U264*1.038</f>
        <v>3328.2589381809121</v>
      </c>
      <c r="W264" s="378">
        <f>+V264</f>
        <v>3328.2589381809121</v>
      </c>
      <c r="X264" s="221">
        <f>V264*1.038</f>
        <v>3454.7327778317867</v>
      </c>
      <c r="Y264" s="221">
        <f>+X264*1.038</f>
        <v>3586.0126233893948</v>
      </c>
      <c r="Z264" s="221">
        <f>+Y264*1.038</f>
        <v>3722.2811030781918</v>
      </c>
      <c r="AA264" s="221">
        <f>+Z264*1.038</f>
        <v>3863.7277849951633</v>
      </c>
      <c r="AB264" s="378">
        <f>+AA264</f>
        <v>3863.7277849951633</v>
      </c>
      <c r="AC264" s="221">
        <f>AA264*1.038</f>
        <v>4010.5494408249797</v>
      </c>
      <c r="AD264" s="221">
        <f>+AC264*1.038</f>
        <v>4162.9503195763291</v>
      </c>
      <c r="AE264" s="221">
        <f>+AD264*1.038</f>
        <v>4321.14243172023</v>
      </c>
      <c r="AF264" s="221">
        <f>+AE264*1.038</f>
        <v>4485.3458441255989</v>
      </c>
      <c r="AG264" s="378">
        <f>+AF264</f>
        <v>4485.3458441255989</v>
      </c>
      <c r="AH264" s="221">
        <f>AF264*1.038</f>
        <v>4655.7889862023721</v>
      </c>
      <c r="AI264" s="221">
        <f>+AH264*1.038</f>
        <v>4832.7089676780624</v>
      </c>
      <c r="AJ264" s="221">
        <f>+AI264*1.038</f>
        <v>5016.3519084498294</v>
      </c>
      <c r="AK264" s="221">
        <f>+AJ264*1.038</f>
        <v>5206.973280970923</v>
      </c>
      <c r="AL264" s="378">
        <f>+AK264</f>
        <v>5206.973280970923</v>
      </c>
      <c r="AM264" s="221">
        <f>AK264*1.038</f>
        <v>5404.8382656478179</v>
      </c>
      <c r="AN264" s="221">
        <f>+AM264*1.038</f>
        <v>5610.2221197424351</v>
      </c>
      <c r="AO264" s="221">
        <f>+AN264*1.038</f>
        <v>5823.4105602926475</v>
      </c>
      <c r="AP264" s="221">
        <f>+AO264*1.038</f>
        <v>6044.700161583768</v>
      </c>
      <c r="AQ264" s="378">
        <f>+AP264</f>
        <v>6044.700161583768</v>
      </c>
    </row>
    <row r="265" spans="2:43" ht="15.75" customHeight="1" outlineLevel="1" x14ac:dyDescent="0.25">
      <c r="B265" s="381" t="s">
        <v>186</v>
      </c>
      <c r="C265" s="382"/>
      <c r="D265" s="377">
        <v>4806</v>
      </c>
      <c r="E265" s="377">
        <v>4702</v>
      </c>
      <c r="F265" s="377">
        <v>4628</v>
      </c>
      <c r="G265" s="377">
        <v>6227</v>
      </c>
      <c r="H265" s="378">
        <f t="shared" si="63"/>
        <v>6227</v>
      </c>
      <c r="I265" s="377">
        <v>6063</v>
      </c>
      <c r="J265" s="377">
        <v>5845</v>
      </c>
      <c r="K265" s="377">
        <v>4670</v>
      </c>
      <c r="L265" s="377">
        <v>4487</v>
      </c>
      <c r="M265" s="378">
        <f t="shared" si="64"/>
        <v>4487</v>
      </c>
      <c r="N265" s="377">
        <v>4313</v>
      </c>
      <c r="O265" s="377">
        <v>3868</v>
      </c>
      <c r="P265" s="377">
        <v>2181</v>
      </c>
      <c r="Q265" s="377">
        <v>2187</v>
      </c>
      <c r="R265" s="378">
        <f t="shared" si="65"/>
        <v>2187</v>
      </c>
      <c r="S265" s="377">
        <f>+(W265-Q265)/4+Q265</f>
        <v>2124.5949999999993</v>
      </c>
      <c r="T265" s="377">
        <f>+(W265-R265)/4+S265</f>
        <v>2062.1899999999987</v>
      </c>
      <c r="U265" s="377">
        <f>+(W265-R265)/4+T265</f>
        <v>1999.784999999998</v>
      </c>
      <c r="V265" s="377">
        <f>+(W265-R265)/4+U265</f>
        <v>1937.3799999999974</v>
      </c>
      <c r="W265" s="378">
        <f>-(W188+W191+W192-W194)</f>
        <v>1937.3799999999974</v>
      </c>
      <c r="X265" s="377">
        <f>+(AB265-V265)/4+V265</f>
        <v>1976.0011749999976</v>
      </c>
      <c r="Y265" s="377">
        <f>+(AB265-W265)/4+X265</f>
        <v>2014.6223499999978</v>
      </c>
      <c r="Z265" s="377">
        <f>+(AB265-W265)/4+Y265</f>
        <v>2053.243524999998</v>
      </c>
      <c r="AA265" s="377">
        <f>+(AB265-W265)/4+Z265</f>
        <v>2091.8646999999983</v>
      </c>
      <c r="AB265" s="378">
        <f>-(AB188+AB191+AB192-AB194)</f>
        <v>2091.8646999999983</v>
      </c>
      <c r="AC265" s="377">
        <f>+(AG265-AA265)/4+AA265</f>
        <v>2078.7948322499979</v>
      </c>
      <c r="AD265" s="377">
        <f>+(AG265-AB265)/4+AC265</f>
        <v>2065.7249644999974</v>
      </c>
      <c r="AE265" s="377">
        <f>+(AG265-AB265)/4+AD265</f>
        <v>2052.655096749997</v>
      </c>
      <c r="AF265" s="377">
        <f>+(AG265-AB265)/4+AE265</f>
        <v>2039.5852289999966</v>
      </c>
      <c r="AG265" s="378">
        <f>-(AG188+AG191+AG192-AG194)</f>
        <v>2039.5852289999966</v>
      </c>
      <c r="AH265" s="377">
        <f>+(AL265-AF265)/4+AF265</f>
        <v>2027.8504705074965</v>
      </c>
      <c r="AI265" s="377">
        <f>+(AL265-AG265)/4+AH265</f>
        <v>2016.1157120149965</v>
      </c>
      <c r="AJ265" s="377">
        <f>+(AL265-AG265)/4+AI265</f>
        <v>2004.3809535224964</v>
      </c>
      <c r="AK265" s="377">
        <f>+(AL265-AG265)/4+AJ265</f>
        <v>1992.6461950299963</v>
      </c>
      <c r="AL265" s="378">
        <f>-(AL188+AL191+AL192-AL194)</f>
        <v>1992.6461950299963</v>
      </c>
      <c r="AM265" s="377">
        <f>+(AQ265-AK265)/4+AK265</f>
        <v>1980.5900034430206</v>
      </c>
      <c r="AN265" s="377">
        <f>+(AQ265-AL265)/4+AM265</f>
        <v>1968.5338118560448</v>
      </c>
      <c r="AO265" s="377">
        <f>+(AQ265-AL265)/4+AN265</f>
        <v>1956.4776202690691</v>
      </c>
      <c r="AP265" s="377">
        <f>+(AQ265-AL265)/4+AO265</f>
        <v>1944.4214286820934</v>
      </c>
      <c r="AQ265" s="378">
        <f>-(AQ188+AQ191+AQ192-AQ194)</f>
        <v>1944.4214286820934</v>
      </c>
    </row>
    <row r="266" spans="2:43" ht="15.75" customHeight="1" outlineLevel="1" x14ac:dyDescent="0.25">
      <c r="B266" s="381" t="s">
        <v>187</v>
      </c>
      <c r="C266" s="382"/>
      <c r="D266" s="377">
        <v>1186</v>
      </c>
      <c r="E266" s="377">
        <v>1265</v>
      </c>
      <c r="F266" s="377">
        <v>1282</v>
      </c>
      <c r="G266" s="377">
        <v>1314</v>
      </c>
      <c r="H266" s="378">
        <f t="shared" si="63"/>
        <v>1314</v>
      </c>
      <c r="I266" s="377">
        <v>1338</v>
      </c>
      <c r="J266" s="377">
        <v>1349</v>
      </c>
      <c r="K266" s="377">
        <v>1376</v>
      </c>
      <c r="L266" s="377">
        <v>1494</v>
      </c>
      <c r="M266" s="378">
        <f t="shared" si="64"/>
        <v>1494</v>
      </c>
      <c r="N266" s="377">
        <v>1603</v>
      </c>
      <c r="O266" s="377">
        <v>1651</v>
      </c>
      <c r="P266" s="377">
        <v>1715</v>
      </c>
      <c r="Q266" s="377">
        <v>1784</v>
      </c>
      <c r="R266" s="378">
        <f t="shared" si="65"/>
        <v>1784</v>
      </c>
      <c r="S266" s="221">
        <f>(S13*S296)*2-Q266</f>
        <v>1575.3215415545469</v>
      </c>
      <c r="T266" s="221">
        <f>(T13*T296)*2-S266</f>
        <v>1980.3715515646577</v>
      </c>
      <c r="U266" s="221">
        <f t="shared" ref="U266:V266" si="66">(U13*U296)*2-T266</f>
        <v>1706.4139115893749</v>
      </c>
      <c r="V266" s="221">
        <f t="shared" si="66"/>
        <v>2119.570697249254</v>
      </c>
      <c r="W266" s="378">
        <f>V266</f>
        <v>2119.570697249254</v>
      </c>
      <c r="X266" s="221">
        <f>(X13*X296)*2-V266</f>
        <v>1550.5485114314788</v>
      </c>
      <c r="Y266" s="221">
        <f>(Y13*Y296)*2-X266</f>
        <v>2343.2770996327781</v>
      </c>
      <c r="Z266" s="221">
        <f t="shared" ref="Z266:AA266" si="67">(Z13*Z296)*2-Y266</f>
        <v>1694.8298153077708</v>
      </c>
      <c r="AA266" s="221">
        <f t="shared" si="67"/>
        <v>2496.1641567180936</v>
      </c>
      <c r="AB266" s="378">
        <f>AA266</f>
        <v>2496.1641567180936</v>
      </c>
      <c r="AC266" s="221">
        <f>(AC13*AC296)*2-AA266</f>
        <v>1523.6913113634582</v>
      </c>
      <c r="AD266" s="221">
        <f>(AD13*AD296)*2-AC266</f>
        <v>2746.1438161136066</v>
      </c>
      <c r="AE266" s="221">
        <f t="shared" ref="AE266:AF266" si="68">(AE13*AE296)*2-AD266</f>
        <v>1682.4339199967517</v>
      </c>
      <c r="AF266" s="221">
        <f t="shared" si="68"/>
        <v>2916.1673472855773</v>
      </c>
      <c r="AG266" s="378">
        <f>AF266</f>
        <v>2916.1673472855773</v>
      </c>
      <c r="AH266" s="221">
        <f>(AH13*AH296)*2-AF266</f>
        <v>1494.1801246447358</v>
      </c>
      <c r="AI266" s="221">
        <f>(AI13*AI296)*2-AH266</f>
        <v>3194.8166406934051</v>
      </c>
      <c r="AJ266" s="221">
        <f t="shared" ref="AJ266:AK266" si="69">(AJ13*AJ296)*2-AI266</f>
        <v>1669.1701788884457</v>
      </c>
      <c r="AK266" s="221">
        <f t="shared" si="69"/>
        <v>3384.4756633970692</v>
      </c>
      <c r="AL266" s="378">
        <f>AK266</f>
        <v>3384.4756633970692</v>
      </c>
      <c r="AM266" s="221">
        <f>(AM13*AM296)*2-AK266</f>
        <v>1461.6013875117087</v>
      </c>
      <c r="AN266" s="221">
        <f>(AN13*AN296)*2-AM266</f>
        <v>3695.2148358490504</v>
      </c>
      <c r="AO266" s="221">
        <f t="shared" ref="AO266:AP266" si="70">(AO13*AO296)*2-AN266</f>
        <v>1654.7078039534535</v>
      </c>
      <c r="AP266" s="221">
        <f t="shared" si="70"/>
        <v>3907.092799811162</v>
      </c>
      <c r="AQ266" s="378">
        <f>AP266</f>
        <v>3907.092799811162</v>
      </c>
    </row>
    <row r="267" spans="2:43" ht="15.75" customHeight="1" outlineLevel="1" x14ac:dyDescent="0.25">
      <c r="B267" s="381" t="s">
        <v>188</v>
      </c>
      <c r="C267" s="382"/>
      <c r="D267" s="377">
        <v>766</v>
      </c>
      <c r="E267" s="377">
        <v>840</v>
      </c>
      <c r="F267" s="377">
        <v>723</v>
      </c>
      <c r="G267" s="377">
        <v>400</v>
      </c>
      <c r="H267" s="378">
        <f t="shared" si="63"/>
        <v>400</v>
      </c>
      <c r="I267" s="377">
        <v>457</v>
      </c>
      <c r="J267" s="377">
        <v>547</v>
      </c>
      <c r="K267" s="377">
        <v>456</v>
      </c>
      <c r="L267" s="377">
        <v>531</v>
      </c>
      <c r="M267" s="378">
        <f t="shared" si="64"/>
        <v>531</v>
      </c>
      <c r="N267" s="377">
        <v>575</v>
      </c>
      <c r="O267" s="377">
        <v>633</v>
      </c>
      <c r="P267" s="377">
        <v>532</v>
      </c>
      <c r="Q267" s="377">
        <v>551</v>
      </c>
      <c r="R267" s="378">
        <f t="shared" si="65"/>
        <v>551</v>
      </c>
      <c r="S267" s="377">
        <f>Q267*(N267/L267)</f>
        <v>596.6572504708098</v>
      </c>
      <c r="T267" s="377">
        <f t="shared" ref="T267:V269" si="71">S267*(O267/N267)</f>
        <v>656.84180790960443</v>
      </c>
      <c r="U267" s="377">
        <f t="shared" si="71"/>
        <v>552.03766478342743</v>
      </c>
      <c r="V267" s="377">
        <f t="shared" si="71"/>
        <v>571.75329566854987</v>
      </c>
      <c r="W267" s="378">
        <f>V267</f>
        <v>571.75329566854987</v>
      </c>
      <c r="X267" s="377">
        <f>V267*(S267/Q267)</f>
        <v>619.13021659023764</v>
      </c>
      <c r="Y267" s="377">
        <f t="shared" ref="Y267:AA269" si="72">X267*(T267/S267)</f>
        <v>681.58161235064415</v>
      </c>
      <c r="Z267" s="377">
        <f t="shared" si="72"/>
        <v>572.83004387131552</v>
      </c>
      <c r="AA267" s="377">
        <f t="shared" si="72"/>
        <v>593.28825972386255</v>
      </c>
      <c r="AB267" s="378">
        <f>AA267</f>
        <v>593.28825972386255</v>
      </c>
      <c r="AC267" s="377">
        <f>AA267*(X267/V267)</f>
        <v>642.44962211152722</v>
      </c>
      <c r="AD267" s="377">
        <f t="shared" ref="AD267:AF269" si="73">AC267*(Y267/X267)</f>
        <v>707.25323616799426</v>
      </c>
      <c r="AE267" s="377">
        <f t="shared" si="73"/>
        <v>594.40556341449121</v>
      </c>
      <c r="AF267" s="377">
        <f t="shared" si="73"/>
        <v>615.63433353643734</v>
      </c>
      <c r="AG267" s="378">
        <f>AF267</f>
        <v>615.63433353643734</v>
      </c>
      <c r="AH267" s="377">
        <f>AF267*(AC267/AA267)</f>
        <v>666.647347991434</v>
      </c>
      <c r="AI267" s="377">
        <f t="shared" ref="AI267:AK269" si="74">AH267*(AD267/AC267)</f>
        <v>733.89177613665686</v>
      </c>
      <c r="AJ267" s="377">
        <f t="shared" si="74"/>
        <v>616.79372022859627</v>
      </c>
      <c r="AK267" s="377">
        <f t="shared" si="74"/>
        <v>638.82206737961758</v>
      </c>
      <c r="AL267" s="378">
        <f>AK267</f>
        <v>638.82206737961758</v>
      </c>
      <c r="AM267" s="377">
        <f>AK267*(AH267/AF267)</f>
        <v>691.75647597604541</v>
      </c>
      <c r="AN267" s="377">
        <f t="shared" ref="AN267:AP269" si="75">AM267*(AI267/AH267)</f>
        <v>761.53365094406388</v>
      </c>
      <c r="AO267" s="377">
        <f t="shared" si="75"/>
        <v>640.02512212044542</v>
      </c>
      <c r="AP267" s="377">
        <f t="shared" si="75"/>
        <v>662.8831621961757</v>
      </c>
      <c r="AQ267" s="378">
        <f>AP267</f>
        <v>662.8831621961757</v>
      </c>
    </row>
    <row r="268" spans="2:43" ht="15.75" customHeight="1" outlineLevel="1" x14ac:dyDescent="0.25">
      <c r="B268" s="381" t="s">
        <v>189</v>
      </c>
      <c r="C268" s="382"/>
      <c r="D268" s="377">
        <v>174</v>
      </c>
      <c r="E268" s="377">
        <v>167</v>
      </c>
      <c r="F268" s="377">
        <v>161</v>
      </c>
      <c r="G268" s="377">
        <v>155</v>
      </c>
      <c r="H268" s="378">
        <f t="shared" si="63"/>
        <v>155</v>
      </c>
      <c r="I268" s="377">
        <v>150</v>
      </c>
      <c r="J268" s="377">
        <v>145</v>
      </c>
      <c r="K268" s="377">
        <v>142</v>
      </c>
      <c r="L268" s="377">
        <v>137</v>
      </c>
      <c r="M268" s="378">
        <f t="shared" si="64"/>
        <v>137</v>
      </c>
      <c r="N268" s="377">
        <v>126</v>
      </c>
      <c r="O268" s="377">
        <v>122</v>
      </c>
      <c r="P268" s="377">
        <v>124</v>
      </c>
      <c r="Q268" s="377">
        <v>121</v>
      </c>
      <c r="R268" s="378">
        <f t="shared" si="65"/>
        <v>121</v>
      </c>
      <c r="S268" s="377">
        <f>Q268*(N268/L268)</f>
        <v>111.28467153284672</v>
      </c>
      <c r="T268" s="377">
        <f t="shared" si="71"/>
        <v>107.75182481751825</v>
      </c>
      <c r="U268" s="377">
        <f t="shared" si="71"/>
        <v>109.51824817518249</v>
      </c>
      <c r="V268" s="377">
        <f t="shared" si="71"/>
        <v>106.86861313868614</v>
      </c>
      <c r="W268" s="378">
        <f>V268</f>
        <v>106.86861313868614</v>
      </c>
      <c r="X268" s="377">
        <f>V268*(S268/Q268)</f>
        <v>98.287921572806226</v>
      </c>
      <c r="Y268" s="377">
        <f t="shared" si="72"/>
        <v>95.167670094304455</v>
      </c>
      <c r="Z268" s="377">
        <f t="shared" si="72"/>
        <v>96.727795833555348</v>
      </c>
      <c r="AA268" s="377">
        <f t="shared" si="72"/>
        <v>94.387607224679016</v>
      </c>
      <c r="AB268" s="378">
        <f>AA268</f>
        <v>94.387607224679016</v>
      </c>
      <c r="AC268" s="377">
        <f>AA268*(X268/V268)</f>
        <v>86.809040221237623</v>
      </c>
      <c r="AD268" s="377">
        <f t="shared" si="73"/>
        <v>84.053197674531674</v>
      </c>
      <c r="AE268" s="377">
        <f t="shared" si="73"/>
        <v>85.431118947884656</v>
      </c>
      <c r="AF268" s="377">
        <f t="shared" si="73"/>
        <v>83.36423703785519</v>
      </c>
      <c r="AG268" s="378">
        <f>AF268</f>
        <v>83.36423703785519</v>
      </c>
      <c r="AH268" s="377">
        <f>AF268*(AC268/AA268)</f>
        <v>76.670758151604034</v>
      </c>
      <c r="AI268" s="377">
        <f t="shared" si="74"/>
        <v>74.236765829330892</v>
      </c>
      <c r="AJ268" s="377">
        <f t="shared" si="74"/>
        <v>75.45376199046747</v>
      </c>
      <c r="AK268" s="377">
        <f t="shared" si="74"/>
        <v>73.62826774876261</v>
      </c>
      <c r="AL268" s="378">
        <f>AK268</f>
        <v>73.62826774876261</v>
      </c>
      <c r="AM268" s="377">
        <f>AK268*(AH268/AF268)</f>
        <v>67.716509024409405</v>
      </c>
      <c r="AN268" s="377">
        <f t="shared" si="75"/>
        <v>65.566778579190057</v>
      </c>
      <c r="AO268" s="377">
        <f t="shared" si="75"/>
        <v>66.641643801799731</v>
      </c>
      <c r="AP268" s="377">
        <f t="shared" si="75"/>
        <v>65.02934596788522</v>
      </c>
      <c r="AQ268" s="378">
        <f>AP268</f>
        <v>65.02934596788522</v>
      </c>
    </row>
    <row r="269" spans="2:43" ht="15.75" customHeight="1" outlineLevel="1" x14ac:dyDescent="0.4">
      <c r="B269" s="581" t="s">
        <v>40</v>
      </c>
      <c r="C269" s="582"/>
      <c r="D269" s="379">
        <v>161</v>
      </c>
      <c r="E269" s="379">
        <v>216</v>
      </c>
      <c r="F269" s="379">
        <v>236</v>
      </c>
      <c r="G269" s="379">
        <v>771</v>
      </c>
      <c r="H269" s="380">
        <f t="shared" si="63"/>
        <v>771</v>
      </c>
      <c r="I269" s="379">
        <v>454</v>
      </c>
      <c r="J269" s="379">
        <v>423</v>
      </c>
      <c r="K269" s="379">
        <v>491</v>
      </c>
      <c r="L269" s="379">
        <v>518</v>
      </c>
      <c r="M269" s="380">
        <f t="shared" si="64"/>
        <v>518</v>
      </c>
      <c r="N269" s="379">
        <v>458</v>
      </c>
      <c r="O269" s="379">
        <v>457</v>
      </c>
      <c r="P269" s="379">
        <v>484</v>
      </c>
      <c r="Q269" s="379">
        <v>534</v>
      </c>
      <c r="R269" s="380">
        <f t="shared" si="65"/>
        <v>534</v>
      </c>
      <c r="S269" s="379">
        <f>Q269*(N269/L269)</f>
        <v>472.14671814671817</v>
      </c>
      <c r="T269" s="379">
        <f t="shared" si="71"/>
        <v>471.11583011583019</v>
      </c>
      <c r="U269" s="379">
        <f t="shared" si="71"/>
        <v>498.94980694980705</v>
      </c>
      <c r="V269" s="379">
        <f t="shared" si="71"/>
        <v>550.49420849420858</v>
      </c>
      <c r="W269" s="380">
        <f>V269</f>
        <v>550.49420849420858</v>
      </c>
      <c r="X269" s="379">
        <f>V269*(S269/Q269)</f>
        <v>486.73040056051644</v>
      </c>
      <c r="Y269" s="379">
        <f t="shared" si="72"/>
        <v>485.66767042828832</v>
      </c>
      <c r="Z269" s="379">
        <f t="shared" si="72"/>
        <v>514.36138399844981</v>
      </c>
      <c r="AA269" s="379">
        <f t="shared" si="72"/>
        <v>567.49789060985995</v>
      </c>
      <c r="AB269" s="380">
        <f>AA269</f>
        <v>567.49789060985995</v>
      </c>
      <c r="AC269" s="379">
        <f>AA269*(X269/V269)</f>
        <v>501.76454420717346</v>
      </c>
      <c r="AD269" s="379">
        <f t="shared" si="73"/>
        <v>500.66898843379545</v>
      </c>
      <c r="AE269" s="379">
        <f t="shared" si="73"/>
        <v>530.24899431500432</v>
      </c>
      <c r="AF269" s="379">
        <f t="shared" si="73"/>
        <v>585.0267829839097</v>
      </c>
      <c r="AG269" s="380">
        <f>AF269</f>
        <v>585.0267829839097</v>
      </c>
      <c r="AH269" s="379">
        <f>AF269*(AC269/AA269)</f>
        <v>517.26306294716346</v>
      </c>
      <c r="AI269" s="379">
        <f t="shared" si="74"/>
        <v>516.13366761321777</v>
      </c>
      <c r="AJ269" s="379">
        <f t="shared" si="74"/>
        <v>546.62734162975357</v>
      </c>
      <c r="AK269" s="379">
        <f t="shared" si="74"/>
        <v>603.09710832704218</v>
      </c>
      <c r="AL269" s="380">
        <f>AK269</f>
        <v>603.09710832704218</v>
      </c>
      <c r="AM269" s="379">
        <f>AK269*(AH269/AF269)</f>
        <v>533.24030041271305</v>
      </c>
      <c r="AN269" s="379">
        <f t="shared" si="75"/>
        <v>532.0760202808076</v>
      </c>
      <c r="AO269" s="379">
        <f t="shared" si="75"/>
        <v>563.51158384225573</v>
      </c>
      <c r="AP269" s="379">
        <f t="shared" si="75"/>
        <v>621.72559043753006</v>
      </c>
      <c r="AQ269" s="380">
        <f>AP269</f>
        <v>621.72559043753006</v>
      </c>
    </row>
    <row r="270" spans="2:43" outlineLevel="1" x14ac:dyDescent="0.25">
      <c r="B270" s="551" t="s">
        <v>10</v>
      </c>
      <c r="C270" s="552"/>
      <c r="D270" s="364">
        <f t="shared" ref="D270:AQ270" si="76">SUM(D262:D269)</f>
        <v>21962</v>
      </c>
      <c r="E270" s="364">
        <f t="shared" si="76"/>
        <v>23381</v>
      </c>
      <c r="F270" s="364">
        <f t="shared" si="76"/>
        <v>23492</v>
      </c>
      <c r="G270" s="364">
        <f t="shared" si="76"/>
        <v>32175</v>
      </c>
      <c r="H270" s="365">
        <f t="shared" si="76"/>
        <v>32175</v>
      </c>
      <c r="I270" s="364">
        <f t="shared" si="76"/>
        <v>31433</v>
      </c>
      <c r="J270" s="364">
        <f t="shared" si="76"/>
        <v>31817</v>
      </c>
      <c r="K270" s="364">
        <f t="shared" si="76"/>
        <v>31597</v>
      </c>
      <c r="L270" s="364">
        <f t="shared" si="76"/>
        <v>32479</v>
      </c>
      <c r="M270" s="365">
        <f t="shared" si="76"/>
        <v>32479</v>
      </c>
      <c r="N270" s="364">
        <f t="shared" si="76"/>
        <v>32732</v>
      </c>
      <c r="O270" s="364">
        <f t="shared" si="76"/>
        <v>33226</v>
      </c>
      <c r="P270" s="364">
        <f t="shared" si="76"/>
        <v>32957</v>
      </c>
      <c r="Q270" s="364">
        <f t="shared" si="76"/>
        <v>32884</v>
      </c>
      <c r="R270" s="365">
        <f t="shared" si="76"/>
        <v>32884</v>
      </c>
      <c r="S270" s="364">
        <f t="shared" si="76"/>
        <v>33881.991903971684</v>
      </c>
      <c r="T270" s="364">
        <f t="shared" si="76"/>
        <v>35851.268842593163</v>
      </c>
      <c r="U270" s="364">
        <f t="shared" si="76"/>
        <v>36321.240299437843</v>
      </c>
      <c r="V270" s="364">
        <f t="shared" si="76"/>
        <v>38769.831927314008</v>
      </c>
      <c r="W270" s="365">
        <f t="shared" si="76"/>
        <v>38769.831927314008</v>
      </c>
      <c r="X270" s="364">
        <f t="shared" si="76"/>
        <v>39019.785230282178</v>
      </c>
      <c r="Y270" s="364">
        <f t="shared" si="76"/>
        <v>42593.399356270042</v>
      </c>
      <c r="Z270" s="364">
        <f t="shared" si="76"/>
        <v>42241.59884178394</v>
      </c>
      <c r="AA270" s="364">
        <f t="shared" si="76"/>
        <v>46251.420925553262</v>
      </c>
      <c r="AB270" s="365">
        <f t="shared" si="76"/>
        <v>46251.420925553262</v>
      </c>
      <c r="AC270" s="364">
        <f t="shared" si="76"/>
        <v>45382.752778783863</v>
      </c>
      <c r="AD270" s="364">
        <f t="shared" si="76"/>
        <v>50596.659931078473</v>
      </c>
      <c r="AE270" s="364">
        <f t="shared" si="76"/>
        <v>49061.492276113539</v>
      </c>
      <c r="AF270" s="364">
        <f t="shared" si="76"/>
        <v>54719.223509234253</v>
      </c>
      <c r="AG270" s="365">
        <f t="shared" si="76"/>
        <v>54719.223509234253</v>
      </c>
      <c r="AH270" s="364">
        <f t="shared" si="76"/>
        <v>52649.461820454359</v>
      </c>
      <c r="AI270" s="364">
        <f t="shared" si="76"/>
        <v>59745.932119465171</v>
      </c>
      <c r="AJ270" s="364">
        <f t="shared" si="76"/>
        <v>56938.767100459503</v>
      </c>
      <c r="AK270" s="364">
        <f t="shared" si="76"/>
        <v>64524.772690530066</v>
      </c>
      <c r="AL270" s="365">
        <f t="shared" si="76"/>
        <v>64524.772690530066</v>
      </c>
      <c r="AM270" s="364">
        <f t="shared" si="76"/>
        <v>61116.494588837653</v>
      </c>
      <c r="AN270" s="364">
        <f t="shared" si="76"/>
        <v>70305.332080529057</v>
      </c>
      <c r="AO270" s="364">
        <f t="shared" si="76"/>
        <v>66081.54452361491</v>
      </c>
      <c r="AP270" s="364">
        <f t="shared" si="76"/>
        <v>75812.615487509553</v>
      </c>
      <c r="AQ270" s="365">
        <f t="shared" si="76"/>
        <v>75812.615487509553</v>
      </c>
    </row>
    <row r="271" spans="2:43" ht="6.75" customHeight="1" outlineLevel="1" x14ac:dyDescent="0.25">
      <c r="B271" s="589"/>
      <c r="C271" s="590"/>
      <c r="D271" s="377"/>
      <c r="E271" s="377"/>
      <c r="F271" s="377"/>
      <c r="G271" s="377"/>
      <c r="H271" s="378"/>
      <c r="I271" s="377"/>
      <c r="J271" s="377"/>
      <c r="K271" s="377"/>
      <c r="L271" s="377"/>
      <c r="M271" s="378"/>
      <c r="N271" s="377"/>
      <c r="O271" s="377"/>
      <c r="P271" s="377"/>
      <c r="Q271" s="383"/>
      <c r="R271" s="384"/>
      <c r="S271" s="383"/>
      <c r="T271" s="383"/>
      <c r="U271" s="383"/>
      <c r="V271" s="383"/>
      <c r="W271" s="384"/>
      <c r="X271" s="383"/>
      <c r="Y271" s="383"/>
      <c r="Z271" s="383"/>
      <c r="AA271" s="383"/>
      <c r="AB271" s="384"/>
      <c r="AC271" s="383"/>
      <c r="AD271" s="383"/>
      <c r="AE271" s="383"/>
      <c r="AF271" s="383"/>
      <c r="AG271" s="384"/>
      <c r="AH271" s="383"/>
      <c r="AI271" s="383"/>
      <c r="AJ271" s="383"/>
      <c r="AK271" s="383"/>
      <c r="AL271" s="384"/>
      <c r="AM271" s="383"/>
      <c r="AN271" s="383"/>
      <c r="AO271" s="383"/>
      <c r="AP271" s="383"/>
      <c r="AQ271" s="384"/>
    </row>
    <row r="272" spans="2:43" ht="14.25" customHeight="1" outlineLevel="1" x14ac:dyDescent="0.25">
      <c r="B272" s="565" t="s">
        <v>41</v>
      </c>
      <c r="C272" s="566"/>
      <c r="D272" s="385">
        <v>0</v>
      </c>
      <c r="E272" s="385">
        <f t="shared" ref="E272:AQ272" si="77">D272</f>
        <v>0</v>
      </c>
      <c r="F272" s="385">
        <f t="shared" si="77"/>
        <v>0</v>
      </c>
      <c r="G272" s="385">
        <f t="shared" si="77"/>
        <v>0</v>
      </c>
      <c r="H272" s="386">
        <f t="shared" si="77"/>
        <v>0</v>
      </c>
      <c r="I272" s="385">
        <f t="shared" si="77"/>
        <v>0</v>
      </c>
      <c r="J272" s="385">
        <f t="shared" si="77"/>
        <v>0</v>
      </c>
      <c r="K272" s="385">
        <f t="shared" si="77"/>
        <v>0</v>
      </c>
      <c r="L272" s="385">
        <f t="shared" si="77"/>
        <v>0</v>
      </c>
      <c r="M272" s="386">
        <f t="shared" si="77"/>
        <v>0</v>
      </c>
      <c r="N272" s="385">
        <f t="shared" si="77"/>
        <v>0</v>
      </c>
      <c r="O272" s="385">
        <f t="shared" si="77"/>
        <v>0</v>
      </c>
      <c r="P272" s="385">
        <f t="shared" si="77"/>
        <v>0</v>
      </c>
      <c r="Q272" s="385">
        <f t="shared" si="77"/>
        <v>0</v>
      </c>
      <c r="R272" s="386">
        <f t="shared" si="77"/>
        <v>0</v>
      </c>
      <c r="S272" s="385">
        <f t="shared" si="77"/>
        <v>0</v>
      </c>
      <c r="T272" s="385">
        <f t="shared" si="77"/>
        <v>0</v>
      </c>
      <c r="U272" s="385">
        <f t="shared" si="77"/>
        <v>0</v>
      </c>
      <c r="V272" s="385">
        <f t="shared" si="77"/>
        <v>0</v>
      </c>
      <c r="W272" s="386">
        <f t="shared" si="77"/>
        <v>0</v>
      </c>
      <c r="X272" s="385">
        <f t="shared" si="77"/>
        <v>0</v>
      </c>
      <c r="Y272" s="385">
        <f t="shared" si="77"/>
        <v>0</v>
      </c>
      <c r="Z272" s="385">
        <f t="shared" si="77"/>
        <v>0</v>
      </c>
      <c r="AA272" s="385">
        <f t="shared" si="77"/>
        <v>0</v>
      </c>
      <c r="AB272" s="386">
        <f t="shared" si="77"/>
        <v>0</v>
      </c>
      <c r="AC272" s="385">
        <f t="shared" si="77"/>
        <v>0</v>
      </c>
      <c r="AD272" s="385">
        <f t="shared" si="77"/>
        <v>0</v>
      </c>
      <c r="AE272" s="385">
        <f t="shared" si="77"/>
        <v>0</v>
      </c>
      <c r="AF272" s="385">
        <f t="shared" si="77"/>
        <v>0</v>
      </c>
      <c r="AG272" s="386">
        <f t="shared" si="77"/>
        <v>0</v>
      </c>
      <c r="AH272" s="385">
        <f t="shared" si="77"/>
        <v>0</v>
      </c>
      <c r="AI272" s="385">
        <f t="shared" si="77"/>
        <v>0</v>
      </c>
      <c r="AJ272" s="385">
        <f t="shared" si="77"/>
        <v>0</v>
      </c>
      <c r="AK272" s="385">
        <f t="shared" si="77"/>
        <v>0</v>
      </c>
      <c r="AL272" s="386">
        <f t="shared" si="77"/>
        <v>0</v>
      </c>
      <c r="AM272" s="385">
        <f t="shared" si="77"/>
        <v>0</v>
      </c>
      <c r="AN272" s="385">
        <f t="shared" si="77"/>
        <v>0</v>
      </c>
      <c r="AO272" s="385">
        <f t="shared" si="77"/>
        <v>0</v>
      </c>
      <c r="AP272" s="385">
        <f t="shared" si="77"/>
        <v>0</v>
      </c>
      <c r="AQ272" s="386">
        <f t="shared" si="77"/>
        <v>0</v>
      </c>
    </row>
    <row r="273" spans="2:44" ht="15.75" x14ac:dyDescent="0.25">
      <c r="B273" s="532" t="s">
        <v>373</v>
      </c>
      <c r="C273" s="540"/>
      <c r="D273" s="67" t="s">
        <v>52</v>
      </c>
      <c r="E273" s="67" t="s">
        <v>55</v>
      </c>
      <c r="F273" s="67" t="s">
        <v>56</v>
      </c>
      <c r="G273" s="67" t="s">
        <v>60</v>
      </c>
      <c r="H273" s="403" t="s">
        <v>61</v>
      </c>
      <c r="I273" s="67" t="s">
        <v>62</v>
      </c>
      <c r="J273" s="67" t="s">
        <v>73</v>
      </c>
      <c r="K273" s="67" t="s">
        <v>77</v>
      </c>
      <c r="L273" s="67" t="s">
        <v>81</v>
      </c>
      <c r="M273" s="403" t="s">
        <v>82</v>
      </c>
      <c r="N273" s="67" t="s">
        <v>83</v>
      </c>
      <c r="O273" s="67" t="s">
        <v>84</v>
      </c>
      <c r="P273" s="67" t="s">
        <v>85</v>
      </c>
      <c r="Q273" s="67" t="s">
        <v>86</v>
      </c>
      <c r="R273" s="403" t="s">
        <v>87</v>
      </c>
      <c r="S273" s="69" t="s">
        <v>344</v>
      </c>
      <c r="T273" s="69" t="s">
        <v>345</v>
      </c>
      <c r="U273" s="69" t="s">
        <v>346</v>
      </c>
      <c r="V273" s="69" t="s">
        <v>347</v>
      </c>
      <c r="W273" s="407" t="s">
        <v>348</v>
      </c>
      <c r="X273" s="69" t="s">
        <v>349</v>
      </c>
      <c r="Y273" s="69" t="s">
        <v>350</v>
      </c>
      <c r="Z273" s="69" t="s">
        <v>351</v>
      </c>
      <c r="AA273" s="69" t="s">
        <v>352</v>
      </c>
      <c r="AB273" s="407" t="s">
        <v>353</v>
      </c>
      <c r="AC273" s="69" t="s">
        <v>354</v>
      </c>
      <c r="AD273" s="69" t="s">
        <v>355</v>
      </c>
      <c r="AE273" s="69" t="s">
        <v>356</v>
      </c>
      <c r="AF273" s="69" t="s">
        <v>357</v>
      </c>
      <c r="AG273" s="407" t="s">
        <v>358</v>
      </c>
      <c r="AH273" s="69" t="s">
        <v>359</v>
      </c>
      <c r="AI273" s="69" t="s">
        <v>360</v>
      </c>
      <c r="AJ273" s="69" t="s">
        <v>361</v>
      </c>
      <c r="AK273" s="69" t="s">
        <v>362</v>
      </c>
      <c r="AL273" s="407" t="s">
        <v>363</v>
      </c>
      <c r="AM273" s="69" t="s">
        <v>364</v>
      </c>
      <c r="AN273" s="69" t="s">
        <v>365</v>
      </c>
      <c r="AO273" s="69" t="s">
        <v>366</v>
      </c>
      <c r="AP273" s="69" t="s">
        <v>367</v>
      </c>
      <c r="AQ273" s="407" t="s">
        <v>368</v>
      </c>
    </row>
    <row r="274" spans="2:44" outlineLevel="1" x14ac:dyDescent="0.25">
      <c r="B274" s="538" t="s">
        <v>11</v>
      </c>
      <c r="C274" s="539"/>
      <c r="D274" s="77">
        <v>32</v>
      </c>
      <c r="E274" s="70">
        <v>32</v>
      </c>
      <c r="F274" s="70">
        <v>32</v>
      </c>
      <c r="G274" s="70">
        <v>32</v>
      </c>
      <c r="H274" s="71">
        <f>G274</f>
        <v>32</v>
      </c>
      <c r="I274" s="70">
        <v>32</v>
      </c>
      <c r="J274" s="77">
        <v>32</v>
      </c>
      <c r="K274" s="70">
        <v>32</v>
      </c>
      <c r="L274" s="70">
        <v>32</v>
      </c>
      <c r="M274" s="71">
        <f>L274</f>
        <v>32</v>
      </c>
      <c r="N274" s="70">
        <v>32</v>
      </c>
      <c r="O274" s="70">
        <v>32</v>
      </c>
      <c r="P274" s="70">
        <v>32</v>
      </c>
      <c r="Q274" s="70">
        <v>32</v>
      </c>
      <c r="R274" s="71">
        <f>Q274</f>
        <v>32</v>
      </c>
      <c r="S274" s="70">
        <f>Q274</f>
        <v>32</v>
      </c>
      <c r="T274" s="70">
        <f>S274</f>
        <v>32</v>
      </c>
      <c r="U274" s="70">
        <f>T274</f>
        <v>32</v>
      </c>
      <c r="V274" s="70">
        <f>U274</f>
        <v>32</v>
      </c>
      <c r="W274" s="71">
        <f>V274</f>
        <v>32</v>
      </c>
      <c r="X274" s="70">
        <f>V274</f>
        <v>32</v>
      </c>
      <c r="Y274" s="70">
        <f>X274</f>
        <v>32</v>
      </c>
      <c r="Z274" s="70">
        <f>Y274</f>
        <v>32</v>
      </c>
      <c r="AA274" s="70">
        <f>Z274</f>
        <v>32</v>
      </c>
      <c r="AB274" s="71">
        <f>AA274</f>
        <v>32</v>
      </c>
      <c r="AC274" s="70">
        <f>AA274</f>
        <v>32</v>
      </c>
      <c r="AD274" s="70">
        <f>AC274</f>
        <v>32</v>
      </c>
      <c r="AE274" s="70">
        <f>AD274</f>
        <v>32</v>
      </c>
      <c r="AF274" s="70">
        <f>AE274</f>
        <v>32</v>
      </c>
      <c r="AG274" s="71">
        <f>AF274</f>
        <v>32</v>
      </c>
      <c r="AH274" s="70">
        <f>AF274</f>
        <v>32</v>
      </c>
      <c r="AI274" s="70">
        <f>AH274</f>
        <v>32</v>
      </c>
      <c r="AJ274" s="70">
        <f>AI274</f>
        <v>32</v>
      </c>
      <c r="AK274" s="70">
        <f>AJ274</f>
        <v>32</v>
      </c>
      <c r="AL274" s="71">
        <f>AK274</f>
        <v>32</v>
      </c>
      <c r="AM274" s="70">
        <f>AK274</f>
        <v>32</v>
      </c>
      <c r="AN274" s="70">
        <f>AM274</f>
        <v>32</v>
      </c>
      <c r="AO274" s="70">
        <f>AN274</f>
        <v>32</v>
      </c>
      <c r="AP274" s="70">
        <f>AO274</f>
        <v>32</v>
      </c>
      <c r="AQ274" s="71">
        <f>AP274</f>
        <v>32</v>
      </c>
    </row>
    <row r="275" spans="2:44" outlineLevel="1" x14ac:dyDescent="0.25">
      <c r="B275" s="287" t="s">
        <v>190</v>
      </c>
      <c r="C275" s="288"/>
      <c r="D275" s="77">
        <v>2814</v>
      </c>
      <c r="E275" s="70">
        <v>2839</v>
      </c>
      <c r="F275" s="70">
        <v>2869</v>
      </c>
      <c r="G275" s="70">
        <v>2892</v>
      </c>
      <c r="H275" s="71">
        <f>G275</f>
        <v>2892</v>
      </c>
      <c r="I275" s="70">
        <v>2918</v>
      </c>
      <c r="J275" s="77">
        <v>2946</v>
      </c>
      <c r="K275" s="70">
        <v>2976</v>
      </c>
      <c r="L275" s="70">
        <v>3005</v>
      </c>
      <c r="M275" s="71">
        <f>L275</f>
        <v>3005</v>
      </c>
      <c r="N275" s="70">
        <v>3030</v>
      </c>
      <c r="O275" s="70">
        <v>3055</v>
      </c>
      <c r="P275" s="70">
        <v>3085</v>
      </c>
      <c r="Q275" s="70">
        <v>3117</v>
      </c>
      <c r="R275" s="71">
        <f>Q275</f>
        <v>3117</v>
      </c>
      <c r="S275" s="70">
        <f>+S309+Q275</f>
        <v>3117</v>
      </c>
      <c r="T275" s="70">
        <f>+T309+S275</f>
        <v>3117</v>
      </c>
      <c r="U275" s="70">
        <f>+U309+T275</f>
        <v>3117</v>
      </c>
      <c r="V275" s="70">
        <f>+V309+U275</f>
        <v>3117</v>
      </c>
      <c r="W275" s="71">
        <f>V275</f>
        <v>3117</v>
      </c>
      <c r="X275" s="70">
        <f>+X309+V275</f>
        <v>3117</v>
      </c>
      <c r="Y275" s="70">
        <f>+Y309+X275</f>
        <v>3117</v>
      </c>
      <c r="Z275" s="70">
        <f>+Z309+Y275</f>
        <v>3117</v>
      </c>
      <c r="AA275" s="70">
        <f>+AA309+Z275</f>
        <v>3117</v>
      </c>
      <c r="AB275" s="71">
        <f>AA275</f>
        <v>3117</v>
      </c>
      <c r="AC275" s="70">
        <f>+AC309+AA275</f>
        <v>3117</v>
      </c>
      <c r="AD275" s="70">
        <f>+AD309+AC275</f>
        <v>3117</v>
      </c>
      <c r="AE275" s="70">
        <f>+AE309+AD275</f>
        <v>3117</v>
      </c>
      <c r="AF275" s="70">
        <f>+AF309+AE275</f>
        <v>3117</v>
      </c>
      <c r="AG275" s="71">
        <f>AF275</f>
        <v>3117</v>
      </c>
      <c r="AH275" s="70">
        <f>+AH309+AF275</f>
        <v>3117</v>
      </c>
      <c r="AI275" s="70">
        <f>+AI309+AH275</f>
        <v>3117</v>
      </c>
      <c r="AJ275" s="70">
        <f>+AJ309+AI275</f>
        <v>3117</v>
      </c>
      <c r="AK275" s="70">
        <f>+AK309+AJ275</f>
        <v>3117</v>
      </c>
      <c r="AL275" s="71">
        <f>AK275</f>
        <v>3117</v>
      </c>
      <c r="AM275" s="70">
        <f>+AM309+AK275</f>
        <v>3117</v>
      </c>
      <c r="AN275" s="70">
        <f>+AN309+AM275</f>
        <v>3117</v>
      </c>
      <c r="AO275" s="70">
        <f>+AO309+AN275</f>
        <v>3117</v>
      </c>
      <c r="AP275" s="70">
        <f>+AP309+AO275</f>
        <v>3117</v>
      </c>
      <c r="AQ275" s="71">
        <f>AP275</f>
        <v>3117</v>
      </c>
    </row>
    <row r="276" spans="2:44" outlineLevel="1" x14ac:dyDescent="0.25">
      <c r="B276" s="587" t="s">
        <v>42</v>
      </c>
      <c r="C276" s="588"/>
      <c r="D276" s="77">
        <v>17434</v>
      </c>
      <c r="E276" s="70">
        <v>18048</v>
      </c>
      <c r="F276" s="70">
        <v>18481</v>
      </c>
      <c r="G276" s="70">
        <v>18371</v>
      </c>
      <c r="H276" s="71">
        <f>G276</f>
        <v>18371</v>
      </c>
      <c r="I276" s="70">
        <v>18862</v>
      </c>
      <c r="J276" s="77">
        <v>19410</v>
      </c>
      <c r="K276" s="70">
        <v>19830</v>
      </c>
      <c r="L276" s="70">
        <v>20833</v>
      </c>
      <c r="M276" s="71">
        <f>L276</f>
        <v>20833</v>
      </c>
      <c r="N276" s="70">
        <v>21156</v>
      </c>
      <c r="O276" s="70">
        <v>21785</v>
      </c>
      <c r="P276" s="70">
        <v>23710</v>
      </c>
      <c r="Q276" s="70">
        <v>24823</v>
      </c>
      <c r="R276" s="71">
        <f>Q276</f>
        <v>24823</v>
      </c>
      <c r="S276" s="70">
        <f>Q276+S306+S331</f>
        <v>26232.221217333437</v>
      </c>
      <c r="T276" s="70">
        <f>S276+T306+T331</f>
        <v>27806.306000155313</v>
      </c>
      <c r="U276" s="70">
        <f>T276+U306+U331</f>
        <v>29409.961089907451</v>
      </c>
      <c r="V276" s="70">
        <f>U276+V306+V331</f>
        <v>31345.956249436647</v>
      </c>
      <c r="W276" s="71">
        <f>V276</f>
        <v>31345.956249436647</v>
      </c>
      <c r="X276" s="70">
        <f>V276+X306+X331</f>
        <v>32966.227259874897</v>
      </c>
      <c r="Y276" s="70">
        <f>X276+Y306+Y331</f>
        <v>34788.941719729548</v>
      </c>
      <c r="Z276" s="70">
        <f>Y276+Z306+Z331</f>
        <v>36655.808715927102</v>
      </c>
      <c r="AA276" s="70">
        <f>Z276+AA306+AA331</f>
        <v>38731.250357052493</v>
      </c>
      <c r="AB276" s="71">
        <f>AA276</f>
        <v>38731.250357052493</v>
      </c>
      <c r="AC276" s="70">
        <f>AA276+AC306+AC331</f>
        <v>40597.607937511551</v>
      </c>
      <c r="AD276" s="70">
        <f>AC276+AD306+AD331</f>
        <v>42690.133223501289</v>
      </c>
      <c r="AE276" s="70">
        <f>AD276+AE306+AE331</f>
        <v>44828.79330686602</v>
      </c>
      <c r="AF276" s="70">
        <f>AE276+AF306+AF331</f>
        <v>47150.693714838562</v>
      </c>
      <c r="AG276" s="71">
        <f>AF276</f>
        <v>47150.693714838562</v>
      </c>
      <c r="AH276" s="70">
        <f>AF276+AH306+AH331</f>
        <v>49289.052725714442</v>
      </c>
      <c r="AI276" s="70">
        <f>AH276+AI306+AI331</f>
        <v>51678.104896705743</v>
      </c>
      <c r="AJ276" s="70">
        <f>AI276+AJ306+AJ331</f>
        <v>54116.963924064941</v>
      </c>
      <c r="AK276" s="70">
        <f>AJ276+AK306+AK331</f>
        <v>56755.243737273413</v>
      </c>
      <c r="AL276" s="71">
        <f>AK276</f>
        <v>56755.243737273413</v>
      </c>
      <c r="AM276" s="70">
        <f>AK276+AM306+AM331</f>
        <v>59195.837359199024</v>
      </c>
      <c r="AN276" s="70">
        <f>AM276+AN306+AN331</f>
        <v>61914.813297302477</v>
      </c>
      <c r="AO276" s="70">
        <f>AN276+AO306+AO331</f>
        <v>64687.742867324669</v>
      </c>
      <c r="AP276" s="70">
        <f>AO276+AP306+AP331</f>
        <v>67678.1274938805</v>
      </c>
      <c r="AQ276" s="71">
        <f>AP276</f>
        <v>67678.1274938805</v>
      </c>
    </row>
    <row r="277" spans="2:44" outlineLevel="1" x14ac:dyDescent="0.25">
      <c r="B277" s="226" t="s">
        <v>281</v>
      </c>
      <c r="C277" s="299"/>
      <c r="D277" s="77"/>
      <c r="E277" s="70"/>
      <c r="F277" s="70"/>
      <c r="G277" s="70"/>
      <c r="H277" s="71"/>
      <c r="I277" s="70"/>
      <c r="J277" s="77"/>
      <c r="K277" s="70"/>
      <c r="L277" s="70"/>
      <c r="M277" s="71"/>
      <c r="N277" s="70"/>
      <c r="O277" s="70"/>
      <c r="P277" s="70"/>
      <c r="Q277" s="49"/>
      <c r="R277" s="71"/>
      <c r="S277" s="49"/>
      <c r="T277" s="49"/>
      <c r="U277" s="49"/>
      <c r="V277" s="49"/>
      <c r="W277" s="20"/>
      <c r="X277" s="49"/>
      <c r="Y277" s="49"/>
      <c r="Z277" s="49"/>
      <c r="AA277" s="49"/>
      <c r="AB277" s="20"/>
      <c r="AC277" s="49"/>
      <c r="AD277" s="49"/>
      <c r="AE277" s="49"/>
      <c r="AF277" s="49"/>
      <c r="AG277" s="20"/>
      <c r="AH277" s="49"/>
      <c r="AI277" s="49"/>
      <c r="AJ277" s="49"/>
      <c r="AK277" s="49"/>
      <c r="AL277" s="20"/>
      <c r="AM277" s="49"/>
      <c r="AN277" s="49"/>
      <c r="AO277" s="49"/>
      <c r="AP277" s="49"/>
      <c r="AQ277" s="20"/>
    </row>
    <row r="278" spans="2:44" outlineLevel="1" x14ac:dyDescent="0.25">
      <c r="B278" s="227" t="s">
        <v>284</v>
      </c>
      <c r="C278" s="299"/>
      <c r="D278" s="77"/>
      <c r="E278" s="70"/>
      <c r="F278" s="70"/>
      <c r="G278" s="70"/>
      <c r="H278" s="71">
        <v>-514</v>
      </c>
      <c r="I278" s="70"/>
      <c r="J278" s="77"/>
      <c r="K278" s="70"/>
      <c r="L278" s="70"/>
      <c r="M278" s="71">
        <v>-685</v>
      </c>
      <c r="N278" s="70"/>
      <c r="O278" s="70"/>
      <c r="P278" s="70"/>
      <c r="Q278" s="77"/>
      <c r="R278" s="89">
        <v>-759</v>
      </c>
      <c r="S278" s="77">
        <f>+R278-S336</f>
        <v>-759</v>
      </c>
      <c r="T278" s="77">
        <f>+S278-T336</f>
        <v>-759</v>
      </c>
      <c r="U278" s="77">
        <f>+T278-U336</f>
        <v>-759</v>
      </c>
      <c r="V278" s="77">
        <f>+U278-V336</f>
        <v>-759</v>
      </c>
      <c r="W278" s="89">
        <f>+V278</f>
        <v>-759</v>
      </c>
      <c r="X278" s="77">
        <f>+W278-X336</f>
        <v>-759</v>
      </c>
      <c r="Y278" s="77">
        <f>+X278-Y336</f>
        <v>-759</v>
      </c>
      <c r="Z278" s="77">
        <f>+Y278-Z336</f>
        <v>-759</v>
      </c>
      <c r="AA278" s="77">
        <f>+Z278-AA336</f>
        <v>-759</v>
      </c>
      <c r="AB278" s="89">
        <f>+AA278</f>
        <v>-759</v>
      </c>
      <c r="AC278" s="77">
        <f>+AB278-AC336</f>
        <v>-759</v>
      </c>
      <c r="AD278" s="77">
        <f>+AC278-AD336</f>
        <v>-759</v>
      </c>
      <c r="AE278" s="77">
        <f>+AD278-AE336</f>
        <v>-759</v>
      </c>
      <c r="AF278" s="77">
        <f>+AE278-AF336</f>
        <v>-759</v>
      </c>
      <c r="AG278" s="89">
        <f>+AF278</f>
        <v>-759</v>
      </c>
      <c r="AH278" s="77">
        <f>+AG278-AH336</f>
        <v>-759</v>
      </c>
      <c r="AI278" s="77">
        <f>+AH278-AI336</f>
        <v>-759</v>
      </c>
      <c r="AJ278" s="77">
        <f>+AI278-AJ336</f>
        <v>-759</v>
      </c>
      <c r="AK278" s="77">
        <f>+AJ278-AK336</f>
        <v>-759</v>
      </c>
      <c r="AL278" s="89">
        <f>+AK278</f>
        <v>-759</v>
      </c>
      <c r="AM278" s="77">
        <f>+AL278-AM336</f>
        <v>-759</v>
      </c>
      <c r="AN278" s="77">
        <f>+AM278-AN336</f>
        <v>-759</v>
      </c>
      <c r="AO278" s="77">
        <f>+AN278-AO336</f>
        <v>-759</v>
      </c>
      <c r="AP278" s="77">
        <f>+AO278-AP336</f>
        <v>-759</v>
      </c>
      <c r="AQ278" s="89">
        <f>+AP278</f>
        <v>-759</v>
      </c>
    </row>
    <row r="279" spans="2:44" outlineLevel="1" x14ac:dyDescent="0.25">
      <c r="B279" s="227" t="s">
        <v>285</v>
      </c>
      <c r="C279" s="299"/>
      <c r="D279" s="77"/>
      <c r="E279" s="70"/>
      <c r="F279" s="70"/>
      <c r="G279" s="70"/>
      <c r="H279" s="71">
        <v>345</v>
      </c>
      <c r="I279" s="70"/>
      <c r="J279" s="77"/>
      <c r="K279" s="70"/>
      <c r="L279" s="70"/>
      <c r="M279" s="71">
        <f>H279+(M191+M192)</f>
        <v>270</v>
      </c>
      <c r="N279" s="70"/>
      <c r="O279" s="70"/>
      <c r="P279" s="70"/>
      <c r="Q279" s="49"/>
      <c r="R279" s="89">
        <v>181</v>
      </c>
      <c r="S279" s="70">
        <f>+R279+S193</f>
        <v>158.75</v>
      </c>
      <c r="T279" s="70">
        <f>+S279+T193</f>
        <v>136.5</v>
      </c>
      <c r="U279" s="70">
        <f>+T279+U193</f>
        <v>114.25</v>
      </c>
      <c r="V279" s="70">
        <f>+U279+V193</f>
        <v>92</v>
      </c>
      <c r="W279" s="71">
        <f>R279+(W191+W192)</f>
        <v>92</v>
      </c>
      <c r="X279" s="70">
        <f>+W279+X193</f>
        <v>69.75</v>
      </c>
      <c r="Y279" s="70">
        <f>+X279+Y193</f>
        <v>47.5</v>
      </c>
      <c r="Z279" s="70">
        <f>+Y279+Z193</f>
        <v>25.25</v>
      </c>
      <c r="AA279" s="70">
        <f>+Z279+AA193</f>
        <v>3</v>
      </c>
      <c r="AB279" s="71">
        <f>W279+(AB191+AB192)</f>
        <v>3</v>
      </c>
      <c r="AC279" s="70">
        <f>+AB279+AC193</f>
        <v>-19.25</v>
      </c>
      <c r="AD279" s="70">
        <f>+AC279+AD193</f>
        <v>-41.5</v>
      </c>
      <c r="AE279" s="70">
        <f>+AD279+AE193</f>
        <v>-63.75</v>
      </c>
      <c r="AF279" s="70">
        <f>+AE279+AF193</f>
        <v>-86</v>
      </c>
      <c r="AG279" s="71">
        <f>AB279+(AG191+AG192)</f>
        <v>-86</v>
      </c>
      <c r="AH279" s="70">
        <f>+AG279+AH193</f>
        <v>-108.25</v>
      </c>
      <c r="AI279" s="70">
        <f>+AH279+AI193</f>
        <v>-130.5</v>
      </c>
      <c r="AJ279" s="70">
        <f>+AI279+AJ193</f>
        <v>-152.75</v>
      </c>
      <c r="AK279" s="70">
        <f>+AJ279+AK193</f>
        <v>-175</v>
      </c>
      <c r="AL279" s="71">
        <f>AG279+(AL191+AL192)</f>
        <v>-175</v>
      </c>
      <c r="AM279" s="70">
        <f>+AL279+AM193</f>
        <v>-197.25</v>
      </c>
      <c r="AN279" s="70">
        <f>+AM279+AN193</f>
        <v>-219.5</v>
      </c>
      <c r="AO279" s="70">
        <f>+AN279+AO193</f>
        <v>-241.75</v>
      </c>
      <c r="AP279" s="70">
        <f>+AO279+AP193</f>
        <v>-264</v>
      </c>
      <c r="AQ279" s="71">
        <f>AL279+(AQ191+AQ192)</f>
        <v>-264</v>
      </c>
    </row>
    <row r="280" spans="2:44" ht="17.25" outlineLevel="1" x14ac:dyDescent="0.4">
      <c r="B280" s="227" t="s">
        <v>283</v>
      </c>
      <c r="C280" s="299"/>
      <c r="D280" s="77"/>
      <c r="E280" s="70"/>
      <c r="F280" s="70"/>
      <c r="G280" s="70"/>
      <c r="H280" s="76">
        <v>0</v>
      </c>
      <c r="I280" s="70"/>
      <c r="J280" s="77"/>
      <c r="K280" s="70"/>
      <c r="L280" s="70"/>
      <c r="M280" s="76">
        <v>0</v>
      </c>
      <c r="N280" s="70"/>
      <c r="O280" s="70"/>
      <c r="P280" s="70"/>
      <c r="Q280" s="310"/>
      <c r="R280" s="130">
        <f>+M280</f>
        <v>0</v>
      </c>
      <c r="S280" s="75">
        <v>0</v>
      </c>
      <c r="T280" s="75">
        <v>0</v>
      </c>
      <c r="U280" s="75">
        <v>0</v>
      </c>
      <c r="V280" s="75">
        <v>0</v>
      </c>
      <c r="W280" s="76">
        <f>+R280</f>
        <v>0</v>
      </c>
      <c r="X280" s="75">
        <v>0</v>
      </c>
      <c r="Y280" s="75">
        <v>0</v>
      </c>
      <c r="Z280" s="75">
        <v>0</v>
      </c>
      <c r="AA280" s="75">
        <v>0</v>
      </c>
      <c r="AB280" s="76">
        <f>+W280</f>
        <v>0</v>
      </c>
      <c r="AC280" s="75">
        <v>0</v>
      </c>
      <c r="AD280" s="75">
        <v>0</v>
      </c>
      <c r="AE280" s="75">
        <v>0</v>
      </c>
      <c r="AF280" s="75">
        <v>0</v>
      </c>
      <c r="AG280" s="76">
        <f>+AB280</f>
        <v>0</v>
      </c>
      <c r="AH280" s="75">
        <v>0</v>
      </c>
      <c r="AI280" s="75">
        <v>0</v>
      </c>
      <c r="AJ280" s="75">
        <v>0</v>
      </c>
      <c r="AK280" s="75">
        <v>0</v>
      </c>
      <c r="AL280" s="76">
        <f>+AG280</f>
        <v>0</v>
      </c>
      <c r="AM280" s="75">
        <v>0</v>
      </c>
      <c r="AN280" s="75">
        <v>0</v>
      </c>
      <c r="AO280" s="75">
        <v>0</v>
      </c>
      <c r="AP280" s="75">
        <v>0</v>
      </c>
      <c r="AQ280" s="76">
        <f>+AL280</f>
        <v>0</v>
      </c>
    </row>
    <row r="281" spans="2:44" s="32" customFormat="1" outlineLevel="1" x14ac:dyDescent="0.25">
      <c r="B281" s="585" t="s">
        <v>282</v>
      </c>
      <c r="C281" s="586"/>
      <c r="D281" s="84">
        <v>10</v>
      </c>
      <c r="E281" s="84">
        <v>-41</v>
      </c>
      <c r="F281" s="84">
        <v>-159</v>
      </c>
      <c r="G281" s="84">
        <v>-169</v>
      </c>
      <c r="H281" s="85">
        <f>+SUM(H278:H280)</f>
        <v>-169</v>
      </c>
      <c r="I281" s="84">
        <v>-176</v>
      </c>
      <c r="J281" s="86">
        <v>-425</v>
      </c>
      <c r="K281" s="84">
        <v>-334</v>
      </c>
      <c r="L281" s="84">
        <v>-415</v>
      </c>
      <c r="M281" s="85">
        <f>+SUM(M278:M280)</f>
        <v>-415</v>
      </c>
      <c r="N281" s="84">
        <v>-325</v>
      </c>
      <c r="O281" s="84">
        <v>-434</v>
      </c>
      <c r="P281" s="84">
        <v>-357</v>
      </c>
      <c r="Q281" s="84">
        <v>-578</v>
      </c>
      <c r="R281" s="85">
        <f t="shared" ref="R281:AQ281" si="78">+SUM(R278:R280)</f>
        <v>-578</v>
      </c>
      <c r="S281" s="84">
        <f t="shared" si="78"/>
        <v>-600.25</v>
      </c>
      <c r="T281" s="84">
        <f t="shared" si="78"/>
        <v>-622.5</v>
      </c>
      <c r="U281" s="84">
        <f t="shared" si="78"/>
        <v>-644.75</v>
      </c>
      <c r="V281" s="84">
        <f t="shared" si="78"/>
        <v>-667</v>
      </c>
      <c r="W281" s="85">
        <f t="shared" si="78"/>
        <v>-667</v>
      </c>
      <c r="X281" s="84">
        <f t="shared" si="78"/>
        <v>-689.25</v>
      </c>
      <c r="Y281" s="84">
        <f t="shared" si="78"/>
        <v>-711.5</v>
      </c>
      <c r="Z281" s="84">
        <f t="shared" si="78"/>
        <v>-733.75</v>
      </c>
      <c r="AA281" s="84">
        <f t="shared" si="78"/>
        <v>-756</v>
      </c>
      <c r="AB281" s="85">
        <f t="shared" si="78"/>
        <v>-756</v>
      </c>
      <c r="AC281" s="84">
        <f t="shared" si="78"/>
        <v>-778.25</v>
      </c>
      <c r="AD281" s="84">
        <f t="shared" si="78"/>
        <v>-800.5</v>
      </c>
      <c r="AE281" s="84">
        <f t="shared" si="78"/>
        <v>-822.75</v>
      </c>
      <c r="AF281" s="84">
        <f t="shared" si="78"/>
        <v>-845</v>
      </c>
      <c r="AG281" s="85">
        <f t="shared" si="78"/>
        <v>-845</v>
      </c>
      <c r="AH281" s="84">
        <f t="shared" si="78"/>
        <v>-867.25</v>
      </c>
      <c r="AI281" s="84">
        <f t="shared" si="78"/>
        <v>-889.5</v>
      </c>
      <c r="AJ281" s="84">
        <f t="shared" si="78"/>
        <v>-911.75</v>
      </c>
      <c r="AK281" s="84">
        <f t="shared" si="78"/>
        <v>-934</v>
      </c>
      <c r="AL281" s="85">
        <f t="shared" si="78"/>
        <v>-934</v>
      </c>
      <c r="AM281" s="84">
        <f t="shared" si="78"/>
        <v>-956.25</v>
      </c>
      <c r="AN281" s="84">
        <f t="shared" si="78"/>
        <v>-978.5</v>
      </c>
      <c r="AO281" s="84">
        <f t="shared" si="78"/>
        <v>-1000.75</v>
      </c>
      <c r="AP281" s="84">
        <f t="shared" si="78"/>
        <v>-1023</v>
      </c>
      <c r="AQ281" s="85">
        <f t="shared" si="78"/>
        <v>-1023</v>
      </c>
    </row>
    <row r="282" spans="2:44" ht="17.25" outlineLevel="1" x14ac:dyDescent="0.4">
      <c r="B282" s="128" t="s">
        <v>191</v>
      </c>
      <c r="C282" s="129"/>
      <c r="D282" s="75">
        <v>-5007</v>
      </c>
      <c r="E282" s="75">
        <v>-5888</v>
      </c>
      <c r="F282" s="75">
        <v>-6896</v>
      </c>
      <c r="G282" s="75">
        <v>-7342</v>
      </c>
      <c r="H282" s="76">
        <f>G282</f>
        <v>-7342</v>
      </c>
      <c r="I282" s="75">
        <v>-7494</v>
      </c>
      <c r="J282" s="78">
        <v>-7432</v>
      </c>
      <c r="K282" s="75">
        <v>-7320</v>
      </c>
      <c r="L282" s="75">
        <v>-7382</v>
      </c>
      <c r="M282" s="76">
        <f>L282</f>
        <v>-7382</v>
      </c>
      <c r="N282" s="75">
        <v>-7275</v>
      </c>
      <c r="O282" s="75">
        <v>-7383</v>
      </c>
      <c r="P282" s="75">
        <v>-7576</v>
      </c>
      <c r="Q282" s="75">
        <v>-7978</v>
      </c>
      <c r="R282" s="76">
        <f>Q282</f>
        <v>-7978</v>
      </c>
      <c r="S282" s="78">
        <f>+Q282-S228</f>
        <v>-8233.2587500000009</v>
      </c>
      <c r="T282" s="78">
        <f>+S282-T228</f>
        <v>-8531.5401875000007</v>
      </c>
      <c r="U282" s="78">
        <f>+T282-U228</f>
        <v>-8860.2579843750009</v>
      </c>
      <c r="V282" s="78">
        <f>+U282-V228</f>
        <v>-9196.5362304687515</v>
      </c>
      <c r="W282" s="130">
        <f>V282</f>
        <v>-9196.5362304687515</v>
      </c>
      <c r="X282" s="78">
        <f>+V282-X228</f>
        <v>-9501.1702880859393</v>
      </c>
      <c r="Y282" s="78">
        <f>+X282-Y228</f>
        <v>-9818.1481726074235</v>
      </c>
      <c r="Z282" s="78">
        <f>+Y282-Z228</f>
        <v>-10139.80016888428</v>
      </c>
      <c r="AA282" s="78">
        <f>+Z282-AA228</f>
        <v>-10459.685715011599</v>
      </c>
      <c r="AB282" s="130">
        <f>AA282</f>
        <v>-10459.685715011599</v>
      </c>
      <c r="AC282" s="78">
        <f>+AA282-AC228</f>
        <v>-10775.473086147311</v>
      </c>
      <c r="AD282" s="78">
        <f>+AC282-AD228</f>
        <v>-11094.048785662653</v>
      </c>
      <c r="AE282" s="78">
        <f>+AD282-AE228</f>
        <v>-11413.023938926461</v>
      </c>
      <c r="AF282" s="78">
        <f>+AE282-AF228</f>
        <v>-11731.329881437006</v>
      </c>
      <c r="AG282" s="130">
        <f>AF282</f>
        <v>-11731.329881437006</v>
      </c>
      <c r="AH282" s="78">
        <f>+AF282-AH228</f>
        <v>-12049.240923043359</v>
      </c>
      <c r="AI282" s="78">
        <f>+AH282-AI228</f>
        <v>-12367.682882267371</v>
      </c>
      <c r="AJ282" s="78">
        <f>+AI282-AJ228</f>
        <v>-12686.091406418549</v>
      </c>
      <c r="AK282" s="78">
        <f>+AJ282-AK228</f>
        <v>-13004.358273291571</v>
      </c>
      <c r="AL282" s="130">
        <f>AK282</f>
        <v>-13004.358273291571</v>
      </c>
      <c r="AM282" s="78">
        <f>+AK282-AM228</f>
        <v>-13322.615371255211</v>
      </c>
      <c r="AN282" s="78">
        <f>+AM282-AN228</f>
        <v>-13640.958983308175</v>
      </c>
      <c r="AO282" s="78">
        <f>+AN282-AO228</f>
        <v>-13959.278008568377</v>
      </c>
      <c r="AP282" s="78">
        <f>+AO282-AP228</f>
        <v>-14277.574659105834</v>
      </c>
      <c r="AQ282" s="130">
        <f>AP282</f>
        <v>-14277.574659105834</v>
      </c>
    </row>
    <row r="283" spans="2:44" outlineLevel="1" x14ac:dyDescent="0.25">
      <c r="B283" s="583" t="s">
        <v>43</v>
      </c>
      <c r="C283" s="584"/>
      <c r="D283" s="84">
        <f>SUM(D274:D282)</f>
        <v>15283</v>
      </c>
      <c r="E283" s="84">
        <f>SUM(E274:E282)</f>
        <v>14990</v>
      </c>
      <c r="F283" s="84">
        <f>SUM(F274:F282)</f>
        <v>14327</v>
      </c>
      <c r="G283" s="84">
        <f>SUM(G274:G282)</f>
        <v>13784</v>
      </c>
      <c r="H283" s="85">
        <f>SUM(H274:H276)+H282+H281</f>
        <v>13784</v>
      </c>
      <c r="I283" s="84">
        <f>SUM(I274:I282)</f>
        <v>14142</v>
      </c>
      <c r="J283" s="86">
        <f>SUM(J274:J282)</f>
        <v>14531</v>
      </c>
      <c r="K283" s="84">
        <f>SUM(K274:K282)</f>
        <v>15184</v>
      </c>
      <c r="L283" s="84">
        <f>SUM(L274:L282)</f>
        <v>16073</v>
      </c>
      <c r="M283" s="85">
        <f>SUM(M274:M276)+M282+M281</f>
        <v>16073</v>
      </c>
      <c r="N283" s="84">
        <f>SUM(N274:N282)</f>
        <v>16618</v>
      </c>
      <c r="O283" s="84">
        <f>SUM(O274:O282)</f>
        <v>17055</v>
      </c>
      <c r="P283" s="84">
        <f>SUM(P274:P282)</f>
        <v>18894</v>
      </c>
      <c r="Q283" s="84">
        <f>SUM(Q274:Q282)</f>
        <v>19416</v>
      </c>
      <c r="R283" s="85">
        <f t="shared" ref="R283:AQ283" si="79">SUM(R274:R276)+R282+R281</f>
        <v>19416</v>
      </c>
      <c r="S283" s="84">
        <f t="shared" si="79"/>
        <v>20547.712467333437</v>
      </c>
      <c r="T283" s="84">
        <f t="shared" si="79"/>
        <v>21801.265812655314</v>
      </c>
      <c r="U283" s="84">
        <f t="shared" si="79"/>
        <v>23053.953105532448</v>
      </c>
      <c r="V283" s="84">
        <f t="shared" si="79"/>
        <v>24631.420018967896</v>
      </c>
      <c r="W283" s="85">
        <f t="shared" si="79"/>
        <v>24631.420018967896</v>
      </c>
      <c r="X283" s="84">
        <f t="shared" si="79"/>
        <v>25924.806971788959</v>
      </c>
      <c r="Y283" s="84">
        <f t="shared" si="79"/>
        <v>27408.293547122124</v>
      </c>
      <c r="Z283" s="84">
        <f t="shared" si="79"/>
        <v>28931.258547042824</v>
      </c>
      <c r="AA283" s="84">
        <f t="shared" si="79"/>
        <v>30664.564642040896</v>
      </c>
      <c r="AB283" s="85">
        <f t="shared" si="79"/>
        <v>30664.564642040896</v>
      </c>
      <c r="AC283" s="84">
        <f t="shared" si="79"/>
        <v>32192.884851364244</v>
      </c>
      <c r="AD283" s="84">
        <f t="shared" si="79"/>
        <v>33944.584437838639</v>
      </c>
      <c r="AE283" s="84">
        <f t="shared" si="79"/>
        <v>35742.01936793956</v>
      </c>
      <c r="AF283" s="84">
        <f t="shared" si="79"/>
        <v>37723.363833401556</v>
      </c>
      <c r="AG283" s="85">
        <f t="shared" si="79"/>
        <v>37723.363833401556</v>
      </c>
      <c r="AH283" s="84">
        <f t="shared" si="79"/>
        <v>39521.561802671087</v>
      </c>
      <c r="AI283" s="84">
        <f t="shared" si="79"/>
        <v>41569.922014438373</v>
      </c>
      <c r="AJ283" s="84">
        <f t="shared" si="79"/>
        <v>43668.122517646392</v>
      </c>
      <c r="AK283" s="84">
        <f t="shared" si="79"/>
        <v>45965.885463981846</v>
      </c>
      <c r="AL283" s="85">
        <f t="shared" si="79"/>
        <v>45965.885463981846</v>
      </c>
      <c r="AM283" s="84">
        <f t="shared" si="79"/>
        <v>48065.971987943813</v>
      </c>
      <c r="AN283" s="84">
        <f t="shared" si="79"/>
        <v>50444.354313994299</v>
      </c>
      <c r="AO283" s="84">
        <f t="shared" si="79"/>
        <v>52876.714858756299</v>
      </c>
      <c r="AP283" s="84">
        <f t="shared" si="79"/>
        <v>55526.552834774666</v>
      </c>
      <c r="AQ283" s="85">
        <f t="shared" si="79"/>
        <v>55526.552834774666</v>
      </c>
    </row>
    <row r="284" spans="2:44" outlineLevel="1" x14ac:dyDescent="0.25">
      <c r="B284" s="614" t="s">
        <v>12</v>
      </c>
      <c r="C284" s="615"/>
      <c r="D284" s="131">
        <f t="shared" ref="D284:AQ284" si="80">D283+D270</f>
        <v>37245</v>
      </c>
      <c r="E284" s="131">
        <f t="shared" si="80"/>
        <v>38371</v>
      </c>
      <c r="F284" s="131">
        <f t="shared" si="80"/>
        <v>37819</v>
      </c>
      <c r="G284" s="131">
        <f t="shared" si="80"/>
        <v>45959</v>
      </c>
      <c r="H284" s="132">
        <f t="shared" si="80"/>
        <v>45959</v>
      </c>
      <c r="I284" s="131">
        <f t="shared" si="80"/>
        <v>45575</v>
      </c>
      <c r="J284" s="133">
        <f t="shared" si="80"/>
        <v>46348</v>
      </c>
      <c r="K284" s="131">
        <f t="shared" si="80"/>
        <v>46781</v>
      </c>
      <c r="L284" s="131">
        <f t="shared" si="80"/>
        <v>48552</v>
      </c>
      <c r="M284" s="132">
        <f t="shared" si="80"/>
        <v>48552</v>
      </c>
      <c r="N284" s="131">
        <f t="shared" si="80"/>
        <v>49350</v>
      </c>
      <c r="O284" s="131">
        <f t="shared" si="80"/>
        <v>50281</v>
      </c>
      <c r="P284" s="131">
        <f t="shared" si="80"/>
        <v>51851</v>
      </c>
      <c r="Q284" s="131">
        <f t="shared" si="80"/>
        <v>52300</v>
      </c>
      <c r="R284" s="132">
        <f t="shared" si="80"/>
        <v>52300</v>
      </c>
      <c r="S284" s="131">
        <f t="shared" si="80"/>
        <v>54429.704371305124</v>
      </c>
      <c r="T284" s="131">
        <f t="shared" si="80"/>
        <v>57652.534655248477</v>
      </c>
      <c r="U284" s="131">
        <f t="shared" si="80"/>
        <v>59375.19340497029</v>
      </c>
      <c r="V284" s="131">
        <f t="shared" si="80"/>
        <v>63401.251946281904</v>
      </c>
      <c r="W284" s="132">
        <f t="shared" si="80"/>
        <v>63401.251946281904</v>
      </c>
      <c r="X284" s="131">
        <f t="shared" si="80"/>
        <v>64944.592202071137</v>
      </c>
      <c r="Y284" s="131">
        <f t="shared" si="80"/>
        <v>70001.692903392162</v>
      </c>
      <c r="Z284" s="131">
        <f t="shared" si="80"/>
        <v>71172.857388826757</v>
      </c>
      <c r="AA284" s="131">
        <f t="shared" si="80"/>
        <v>76915.985567594151</v>
      </c>
      <c r="AB284" s="132">
        <f t="shared" si="80"/>
        <v>76915.985567594151</v>
      </c>
      <c r="AC284" s="131">
        <f t="shared" si="80"/>
        <v>77575.637630148107</v>
      </c>
      <c r="AD284" s="131">
        <f t="shared" si="80"/>
        <v>84541.244368917105</v>
      </c>
      <c r="AE284" s="131">
        <f t="shared" si="80"/>
        <v>84803.511644053098</v>
      </c>
      <c r="AF284" s="131">
        <f t="shared" si="80"/>
        <v>92442.587342635816</v>
      </c>
      <c r="AG284" s="132">
        <f t="shared" si="80"/>
        <v>92442.587342635816</v>
      </c>
      <c r="AH284" s="131">
        <f t="shared" si="80"/>
        <v>92171.023623125453</v>
      </c>
      <c r="AI284" s="131">
        <f t="shared" si="80"/>
        <v>101315.85413390354</v>
      </c>
      <c r="AJ284" s="131">
        <f t="shared" si="80"/>
        <v>100606.8896181059</v>
      </c>
      <c r="AK284" s="131">
        <f t="shared" si="80"/>
        <v>110490.65815451191</v>
      </c>
      <c r="AL284" s="132">
        <f t="shared" si="80"/>
        <v>110490.65815451191</v>
      </c>
      <c r="AM284" s="131">
        <f t="shared" si="80"/>
        <v>109182.46657678147</v>
      </c>
      <c r="AN284" s="131">
        <f t="shared" si="80"/>
        <v>120749.68639452336</v>
      </c>
      <c r="AO284" s="131">
        <f t="shared" si="80"/>
        <v>118958.25938237121</v>
      </c>
      <c r="AP284" s="131">
        <f t="shared" si="80"/>
        <v>131339.16832228421</v>
      </c>
      <c r="AQ284" s="132">
        <f t="shared" si="80"/>
        <v>131339.16832228421</v>
      </c>
    </row>
    <row r="285" spans="2:44" x14ac:dyDescent="0.25">
      <c r="B285" s="29"/>
      <c r="C285" s="22"/>
      <c r="D285" s="4">
        <f t="shared" ref="D285:P285" si="81">D284-D255</f>
        <v>0</v>
      </c>
      <c r="E285" s="4">
        <f t="shared" si="81"/>
        <v>0</v>
      </c>
      <c r="F285" s="4">
        <f t="shared" si="81"/>
        <v>0</v>
      </c>
      <c r="G285" s="4">
        <f t="shared" si="81"/>
        <v>0</v>
      </c>
      <c r="H285" s="4">
        <f t="shared" si="81"/>
        <v>0</v>
      </c>
      <c r="I285" s="4">
        <f t="shared" si="81"/>
        <v>0</v>
      </c>
      <c r="J285" s="4">
        <f t="shared" si="81"/>
        <v>0</v>
      </c>
      <c r="K285" s="4">
        <f t="shared" si="81"/>
        <v>0</v>
      </c>
      <c r="L285" s="4">
        <f t="shared" si="81"/>
        <v>0</v>
      </c>
      <c r="M285" s="4">
        <f t="shared" si="81"/>
        <v>0</v>
      </c>
      <c r="N285" s="4">
        <f t="shared" si="81"/>
        <v>0</v>
      </c>
      <c r="O285" s="4">
        <f t="shared" si="81"/>
        <v>0</v>
      </c>
      <c r="P285" s="4">
        <f t="shared" si="81"/>
        <v>0</v>
      </c>
      <c r="Q285" s="233">
        <f t="shared" ref="Q285:AQ285" si="82">ROUND((Q284-Q255),0)</f>
        <v>0</v>
      </c>
      <c r="R285" s="233">
        <f t="shared" si="82"/>
        <v>0</v>
      </c>
      <c r="S285" s="523">
        <f t="shared" si="82"/>
        <v>717</v>
      </c>
      <c r="T285" s="523">
        <f t="shared" si="82"/>
        <v>797</v>
      </c>
      <c r="U285" s="523">
        <f t="shared" si="82"/>
        <v>1403</v>
      </c>
      <c r="V285" s="523">
        <f t="shared" si="82"/>
        <v>3055</v>
      </c>
      <c r="W285" s="523">
        <f t="shared" si="82"/>
        <v>3055</v>
      </c>
      <c r="X285" s="523">
        <f t="shared" si="82"/>
        <v>3625</v>
      </c>
      <c r="Y285" s="523">
        <f t="shared" si="82"/>
        <v>4557</v>
      </c>
      <c r="Z285" s="523">
        <f t="shared" si="82"/>
        <v>5124</v>
      </c>
      <c r="AA285" s="523">
        <f t="shared" si="82"/>
        <v>7560</v>
      </c>
      <c r="AB285" s="523">
        <f t="shared" si="82"/>
        <v>7560</v>
      </c>
      <c r="AC285" s="523">
        <f t="shared" si="82"/>
        <v>7754</v>
      </c>
      <c r="AD285" s="523">
        <f t="shared" si="82"/>
        <v>9432</v>
      </c>
      <c r="AE285" s="523">
        <f t="shared" si="82"/>
        <v>9636</v>
      </c>
      <c r="AF285" s="523">
        <f t="shared" si="82"/>
        <v>12893</v>
      </c>
      <c r="AG285" s="523">
        <f t="shared" si="82"/>
        <v>12893</v>
      </c>
      <c r="AH285" s="523">
        <f t="shared" si="82"/>
        <v>12733</v>
      </c>
      <c r="AI285" s="523">
        <f t="shared" si="82"/>
        <v>15265</v>
      </c>
      <c r="AJ285" s="523">
        <f t="shared" si="82"/>
        <v>15125</v>
      </c>
      <c r="AK285" s="523">
        <f t="shared" si="82"/>
        <v>19379</v>
      </c>
      <c r="AL285" s="523">
        <f t="shared" si="82"/>
        <v>19379</v>
      </c>
      <c r="AM285" s="523">
        <f t="shared" si="82"/>
        <v>18844</v>
      </c>
      <c r="AN285" s="523">
        <f t="shared" si="82"/>
        <v>22299</v>
      </c>
      <c r="AO285" s="523">
        <f t="shared" si="82"/>
        <v>21799</v>
      </c>
      <c r="AP285" s="523">
        <f t="shared" si="82"/>
        <v>27138</v>
      </c>
      <c r="AQ285" s="523">
        <f t="shared" si="82"/>
        <v>27138</v>
      </c>
      <c r="AR285" s="522"/>
    </row>
    <row r="286" spans="2:44" ht="15.75" x14ac:dyDescent="0.25">
      <c r="B286" s="532" t="s">
        <v>25</v>
      </c>
      <c r="C286" s="540"/>
      <c r="D286" s="67" t="s">
        <v>88</v>
      </c>
      <c r="E286" s="67" t="s">
        <v>89</v>
      </c>
      <c r="F286" s="67" t="s">
        <v>90</v>
      </c>
      <c r="G286" s="67" t="s">
        <v>91</v>
      </c>
      <c r="H286" s="403" t="s">
        <v>91</v>
      </c>
      <c r="I286" s="67" t="s">
        <v>92</v>
      </c>
      <c r="J286" s="67" t="s">
        <v>93</v>
      </c>
      <c r="K286" s="67" t="s">
        <v>94</v>
      </c>
      <c r="L286" s="67" t="s">
        <v>95</v>
      </c>
      <c r="M286" s="403" t="s">
        <v>95</v>
      </c>
      <c r="N286" s="67" t="s">
        <v>96</v>
      </c>
      <c r="O286" s="67" t="s">
        <v>97</v>
      </c>
      <c r="P286" s="67" t="s">
        <v>98</v>
      </c>
      <c r="Q286" s="67" t="s">
        <v>99</v>
      </c>
      <c r="R286" s="403" t="s">
        <v>99</v>
      </c>
      <c r="S286" s="69" t="s">
        <v>100</v>
      </c>
      <c r="T286" s="69" t="s">
        <v>101</v>
      </c>
      <c r="U286" s="69" t="s">
        <v>102</v>
      </c>
      <c r="V286" s="69" t="s">
        <v>103</v>
      </c>
      <c r="W286" s="407" t="s">
        <v>103</v>
      </c>
      <c r="X286" s="69" t="s">
        <v>104</v>
      </c>
      <c r="Y286" s="69" t="s">
        <v>105</v>
      </c>
      <c r="Z286" s="69" t="s">
        <v>106</v>
      </c>
      <c r="AA286" s="69" t="s">
        <v>107</v>
      </c>
      <c r="AB286" s="407" t="s">
        <v>107</v>
      </c>
      <c r="AC286" s="69" t="s">
        <v>108</v>
      </c>
      <c r="AD286" s="69" t="s">
        <v>109</v>
      </c>
      <c r="AE286" s="69" t="s">
        <v>110</v>
      </c>
      <c r="AF286" s="69" t="s">
        <v>111</v>
      </c>
      <c r="AG286" s="407" t="s">
        <v>111</v>
      </c>
      <c r="AH286" s="69" t="s">
        <v>112</v>
      </c>
      <c r="AI286" s="69" t="s">
        <v>113</v>
      </c>
      <c r="AJ286" s="69" t="s">
        <v>114</v>
      </c>
      <c r="AK286" s="69" t="s">
        <v>115</v>
      </c>
      <c r="AL286" s="407" t="s">
        <v>115</v>
      </c>
      <c r="AM286" s="69" t="s">
        <v>116</v>
      </c>
      <c r="AN286" s="69" t="s">
        <v>117</v>
      </c>
      <c r="AO286" s="69" t="s">
        <v>118</v>
      </c>
      <c r="AP286" s="69" t="s">
        <v>119</v>
      </c>
      <c r="AQ286" s="407" t="s">
        <v>119</v>
      </c>
    </row>
    <row r="287" spans="2:44" ht="17.25" x14ac:dyDescent="0.4">
      <c r="B287" s="541"/>
      <c r="C287" s="542"/>
      <c r="D287" s="68" t="s">
        <v>52</v>
      </c>
      <c r="E287" s="68" t="s">
        <v>55</v>
      </c>
      <c r="F287" s="68" t="s">
        <v>56</v>
      </c>
      <c r="G287" s="68" t="s">
        <v>60</v>
      </c>
      <c r="H287" s="404" t="s">
        <v>61</v>
      </c>
      <c r="I287" s="68" t="s">
        <v>62</v>
      </c>
      <c r="J287" s="68" t="s">
        <v>73</v>
      </c>
      <c r="K287" s="68" t="s">
        <v>77</v>
      </c>
      <c r="L287" s="68" t="s">
        <v>81</v>
      </c>
      <c r="M287" s="404" t="s">
        <v>82</v>
      </c>
      <c r="N287" s="68" t="s">
        <v>83</v>
      </c>
      <c r="O287" s="68" t="s">
        <v>84</v>
      </c>
      <c r="P287" s="68" t="s">
        <v>85</v>
      </c>
      <c r="Q287" s="68" t="s">
        <v>86</v>
      </c>
      <c r="R287" s="404" t="s">
        <v>87</v>
      </c>
      <c r="S287" s="66" t="s">
        <v>344</v>
      </c>
      <c r="T287" s="66" t="s">
        <v>345</v>
      </c>
      <c r="U287" s="66" t="s">
        <v>346</v>
      </c>
      <c r="V287" s="66" t="s">
        <v>347</v>
      </c>
      <c r="W287" s="408" t="s">
        <v>348</v>
      </c>
      <c r="X287" s="66" t="s">
        <v>349</v>
      </c>
      <c r="Y287" s="66" t="s">
        <v>350</v>
      </c>
      <c r="Z287" s="66" t="s">
        <v>351</v>
      </c>
      <c r="AA287" s="66" t="s">
        <v>352</v>
      </c>
      <c r="AB287" s="408" t="s">
        <v>353</v>
      </c>
      <c r="AC287" s="66" t="s">
        <v>354</v>
      </c>
      <c r="AD287" s="66" t="s">
        <v>355</v>
      </c>
      <c r="AE287" s="66" t="s">
        <v>356</v>
      </c>
      <c r="AF287" s="66" t="s">
        <v>357</v>
      </c>
      <c r="AG287" s="408" t="s">
        <v>358</v>
      </c>
      <c r="AH287" s="66" t="s">
        <v>359</v>
      </c>
      <c r="AI287" s="66" t="s">
        <v>360</v>
      </c>
      <c r="AJ287" s="66" t="s">
        <v>361</v>
      </c>
      <c r="AK287" s="66" t="s">
        <v>362</v>
      </c>
      <c r="AL287" s="408" t="s">
        <v>363</v>
      </c>
      <c r="AM287" s="66" t="s">
        <v>364</v>
      </c>
      <c r="AN287" s="66" t="s">
        <v>365</v>
      </c>
      <c r="AO287" s="66" t="s">
        <v>366</v>
      </c>
      <c r="AP287" s="66" t="s">
        <v>367</v>
      </c>
      <c r="AQ287" s="408" t="s">
        <v>368</v>
      </c>
    </row>
    <row r="288" spans="2:44" s="30" customFormat="1" outlineLevel="1" x14ac:dyDescent="0.25">
      <c r="B288" s="292" t="s">
        <v>66</v>
      </c>
      <c r="C288" s="54"/>
      <c r="D288" s="116">
        <v>92</v>
      </c>
      <c r="E288" s="116">
        <v>90</v>
      </c>
      <c r="F288" s="116">
        <v>91</v>
      </c>
      <c r="G288" s="116">
        <v>92</v>
      </c>
      <c r="H288" s="147"/>
      <c r="I288" s="116">
        <v>92</v>
      </c>
      <c r="J288" s="116">
        <v>91</v>
      </c>
      <c r="K288" s="116">
        <v>90</v>
      </c>
      <c r="L288" s="116">
        <v>92</v>
      </c>
      <c r="M288" s="147"/>
      <c r="N288" s="116">
        <v>92</v>
      </c>
      <c r="O288" s="116">
        <v>91</v>
      </c>
      <c r="P288" s="116">
        <v>90</v>
      </c>
      <c r="Q288" s="116">
        <v>92</v>
      </c>
      <c r="R288" s="147"/>
      <c r="S288" s="116">
        <v>92</v>
      </c>
      <c r="T288" s="116">
        <v>91</v>
      </c>
      <c r="U288" s="116">
        <v>90</v>
      </c>
      <c r="V288" s="116">
        <v>92</v>
      </c>
      <c r="W288" s="147"/>
      <c r="X288" s="116">
        <v>92</v>
      </c>
      <c r="Y288" s="116">
        <v>91</v>
      </c>
      <c r="Z288" s="116">
        <v>91</v>
      </c>
      <c r="AA288" s="116">
        <v>92</v>
      </c>
      <c r="AB288" s="147"/>
      <c r="AC288" s="116">
        <v>92</v>
      </c>
      <c r="AD288" s="116">
        <v>91</v>
      </c>
      <c r="AE288" s="116">
        <v>90</v>
      </c>
      <c r="AF288" s="116">
        <v>92</v>
      </c>
      <c r="AG288" s="147"/>
      <c r="AH288" s="116">
        <v>92</v>
      </c>
      <c r="AI288" s="116">
        <v>91</v>
      </c>
      <c r="AJ288" s="116">
        <v>90</v>
      </c>
      <c r="AK288" s="116">
        <v>92</v>
      </c>
      <c r="AL288" s="147"/>
      <c r="AM288" s="116">
        <v>92</v>
      </c>
      <c r="AN288" s="116">
        <v>91</v>
      </c>
      <c r="AO288" s="116">
        <v>90</v>
      </c>
      <c r="AP288" s="116">
        <v>92</v>
      </c>
      <c r="AQ288" s="147"/>
    </row>
    <row r="289" spans="2:43" outlineLevel="1" x14ac:dyDescent="0.25">
      <c r="B289" s="538" t="s">
        <v>26</v>
      </c>
      <c r="C289" s="539"/>
      <c r="D289" s="215">
        <f>D13/(AVERAGE(D245,5719))</f>
        <v>2.1663726182074807</v>
      </c>
      <c r="E289" s="215">
        <f>E13/(AVERAGE(E245,D245))</f>
        <v>2.1691342971607734</v>
      </c>
      <c r="F289" s="215">
        <f>F13/(AVERAGE(F245,E245))</f>
        <v>2.2008870336551003</v>
      </c>
      <c r="G289" s="215">
        <f>G13/(AVERAGE(G245,F245))</f>
        <v>2.0144342697501165</v>
      </c>
      <c r="H289" s="216"/>
      <c r="I289" s="451">
        <f>I13/(AVERAGE(I245,G245))</f>
        <v>2.0245771487745943</v>
      </c>
      <c r="J289" s="451">
        <f>J13/(AVERAGE(J245,I245))</f>
        <v>2.016612641815235</v>
      </c>
      <c r="K289" s="451">
        <f>K13/(AVERAGE(K245,J245))</f>
        <v>2.0005335823384245</v>
      </c>
      <c r="L289" s="451">
        <f>L13/(AVERAGE(L245,K245))</f>
        <v>2.0946926816274889</v>
      </c>
      <c r="M289" s="452"/>
      <c r="N289" s="451">
        <f>N13/(AVERAGE(N245,L245))</f>
        <v>1.9605254726049344</v>
      </c>
      <c r="O289" s="451">
        <f>O13/(AVERAGE(O245,N245))</f>
        <v>1.958225796770902</v>
      </c>
      <c r="P289" s="451">
        <f>P13/(AVERAGE(P245,O245))</f>
        <v>1.9076532379083457</v>
      </c>
      <c r="Q289" s="451">
        <f>Q13/(AVERAGE(Q245,P245))</f>
        <v>2.0140901280753791</v>
      </c>
      <c r="R289" s="218"/>
      <c r="S289" s="225">
        <f>+N289</f>
        <v>1.9605254726049344</v>
      </c>
      <c r="T289" s="225">
        <f>+O289</f>
        <v>1.958225796770902</v>
      </c>
      <c r="U289" s="225">
        <f>+P289</f>
        <v>1.9076532379083457</v>
      </c>
      <c r="V289" s="225">
        <f>+Q289</f>
        <v>2.0140901280753791</v>
      </c>
      <c r="W289" s="216"/>
      <c r="X289" s="217">
        <f>+S289</f>
        <v>1.9605254726049344</v>
      </c>
      <c r="Y289" s="217">
        <f>+T289</f>
        <v>1.958225796770902</v>
      </c>
      <c r="Z289" s="217">
        <f>+U289</f>
        <v>1.9076532379083457</v>
      </c>
      <c r="AA289" s="217">
        <f>+V289</f>
        <v>2.0140901280753791</v>
      </c>
      <c r="AB289" s="216"/>
      <c r="AC289" s="217">
        <f>+X289</f>
        <v>1.9605254726049344</v>
      </c>
      <c r="AD289" s="217">
        <f>+Y289</f>
        <v>1.958225796770902</v>
      </c>
      <c r="AE289" s="217">
        <f>+Z289</f>
        <v>1.9076532379083457</v>
      </c>
      <c r="AF289" s="217">
        <f>+AA289</f>
        <v>2.0140901280753791</v>
      </c>
      <c r="AG289" s="216"/>
      <c r="AH289" s="217">
        <f>+AC289</f>
        <v>1.9605254726049344</v>
      </c>
      <c r="AI289" s="217">
        <f>+AD289</f>
        <v>1.958225796770902</v>
      </c>
      <c r="AJ289" s="217">
        <f>+AE289</f>
        <v>1.9076532379083457</v>
      </c>
      <c r="AK289" s="217">
        <f>+AF289</f>
        <v>2.0140901280753791</v>
      </c>
      <c r="AL289" s="216"/>
      <c r="AM289" s="217">
        <f>+AH289</f>
        <v>1.9605254726049344</v>
      </c>
      <c r="AN289" s="217">
        <f>+AI289</f>
        <v>1.958225796770902</v>
      </c>
      <c r="AO289" s="217">
        <f>+AJ289</f>
        <v>1.9076532379083457</v>
      </c>
      <c r="AP289" s="217">
        <f>+AK289</f>
        <v>2.0140901280753791</v>
      </c>
      <c r="AQ289" s="55"/>
    </row>
    <row r="290" spans="2:43" s="207" customFormat="1" outlineLevel="1" x14ac:dyDescent="0.25">
      <c r="B290" s="549" t="s">
        <v>67</v>
      </c>
      <c r="C290" s="550"/>
      <c r="D290" s="116">
        <f>D288/D289</f>
        <v>42.467301897548658</v>
      </c>
      <c r="E290" s="116">
        <f>E288/E289</f>
        <v>41.49120693808721</v>
      </c>
      <c r="F290" s="116">
        <f>F288/F289</f>
        <v>41.346965386439074</v>
      </c>
      <c r="G290" s="116">
        <f>G288/G289</f>
        <v>45.670390631019337</v>
      </c>
      <c r="H290" s="216"/>
      <c r="I290" s="116">
        <f>I288/I289</f>
        <v>45.44158766964469</v>
      </c>
      <c r="J290" s="116">
        <f>J288/J289</f>
        <v>45.125175808720115</v>
      </c>
      <c r="K290" s="116">
        <f>K288/K289</f>
        <v>44.987997599519908</v>
      </c>
      <c r="L290" s="116">
        <f>L288/L289</f>
        <v>43.920523906408953</v>
      </c>
      <c r="M290" s="216"/>
      <c r="N290" s="116">
        <f>N288/N289</f>
        <v>46.926194678695168</v>
      </c>
      <c r="O290" s="116">
        <f>O288/O289</f>
        <v>46.47063691534359</v>
      </c>
      <c r="P290" s="116">
        <f>P288/P289</f>
        <v>47.178385574246647</v>
      </c>
      <c r="Q290" s="116">
        <f>Q288/Q289</f>
        <v>45.678194196757822</v>
      </c>
      <c r="R290" s="216"/>
      <c r="S290" s="116">
        <f>S288/S289</f>
        <v>46.926194678695168</v>
      </c>
      <c r="T290" s="116">
        <f>T288/T289</f>
        <v>46.47063691534359</v>
      </c>
      <c r="U290" s="116">
        <f>U288/U289</f>
        <v>47.178385574246647</v>
      </c>
      <c r="V290" s="116">
        <f>V288/V289</f>
        <v>45.678194196757822</v>
      </c>
      <c r="W290" s="216"/>
      <c r="X290" s="116">
        <f>X288/X289</f>
        <v>46.926194678695168</v>
      </c>
      <c r="Y290" s="116">
        <f>Y288/Y289</f>
        <v>46.47063691534359</v>
      </c>
      <c r="Z290" s="116">
        <f>Z288/Z289</f>
        <v>47.702589858404941</v>
      </c>
      <c r="AA290" s="116">
        <f>AA288/AA289</f>
        <v>45.678194196757822</v>
      </c>
      <c r="AB290" s="216"/>
      <c r="AC290" s="116">
        <f>AC288/AC289</f>
        <v>46.926194678695168</v>
      </c>
      <c r="AD290" s="116">
        <f>AD288/AD289</f>
        <v>46.47063691534359</v>
      </c>
      <c r="AE290" s="116">
        <f>AE288/AE289</f>
        <v>47.178385574246647</v>
      </c>
      <c r="AF290" s="116">
        <f>AF288/AF289</f>
        <v>45.678194196757822</v>
      </c>
      <c r="AG290" s="216"/>
      <c r="AH290" s="116">
        <f>AH288/AH289</f>
        <v>46.926194678695168</v>
      </c>
      <c r="AI290" s="116">
        <f>AI288/AI289</f>
        <v>46.47063691534359</v>
      </c>
      <c r="AJ290" s="116">
        <f>AJ288/AJ289</f>
        <v>47.178385574246647</v>
      </c>
      <c r="AK290" s="116">
        <f>AK288/AK289</f>
        <v>45.678194196757822</v>
      </c>
      <c r="AL290" s="216"/>
      <c r="AM290" s="116">
        <f>AM288/AM289</f>
        <v>46.926194678695168</v>
      </c>
      <c r="AN290" s="116">
        <f>AN288/AN289</f>
        <v>46.47063691534359</v>
      </c>
      <c r="AO290" s="116">
        <f>AO288/AO289</f>
        <v>47.178385574246647</v>
      </c>
      <c r="AP290" s="116">
        <f>AP288/AP289</f>
        <v>45.678194196757822</v>
      </c>
      <c r="AQ290" s="216"/>
    </row>
    <row r="291" spans="2:43" s="207" customFormat="1" outlineLevel="1" x14ac:dyDescent="0.25">
      <c r="B291" s="292" t="s">
        <v>274</v>
      </c>
      <c r="C291" s="293"/>
      <c r="D291" s="143">
        <f>+D246/D250</f>
        <v>1.1093682511536975E-2</v>
      </c>
      <c r="E291" s="143">
        <f>+E246/E250</f>
        <v>1.089695415764113E-2</v>
      </c>
      <c r="F291" s="143">
        <f>+F246/F250</f>
        <v>1.0340632603406326E-2</v>
      </c>
      <c r="G291" s="143">
        <f>+G246/G250</f>
        <v>1.054915138882981E-2</v>
      </c>
      <c r="H291" s="216"/>
      <c r="I291" s="143">
        <f>+I246/I250</f>
        <v>1.063984538974668E-2</v>
      </c>
      <c r="J291" s="143">
        <f>+J246/J250</f>
        <v>1.0568706815487142E-2</v>
      </c>
      <c r="K291" s="143">
        <f>+K246/K250</f>
        <v>1.0592538993407299E-2</v>
      </c>
      <c r="L291" s="143">
        <f>+L246/L250</f>
        <v>1.0152885868921107E-2</v>
      </c>
      <c r="M291" s="216"/>
      <c r="N291" s="143">
        <f>+N246/N250</f>
        <v>1.0011641443538999E-2</v>
      </c>
      <c r="O291" s="143">
        <f>+O246/O250</f>
        <v>1.0011269722013523E-2</v>
      </c>
      <c r="P291" s="143">
        <f>+P246/P250</f>
        <v>9.6180370377181527E-3</v>
      </c>
      <c r="Q291" s="143">
        <f>+Q246/Q250</f>
        <v>9.5245006440376635E-3</v>
      </c>
      <c r="R291" s="216"/>
      <c r="S291" s="154">
        <f>AVERAGE(Q291,P291,O291,N291)</f>
        <v>9.791362211827085E-3</v>
      </c>
      <c r="T291" s="154">
        <f>AVERAGE(S291,Q291,P291,O291)</f>
        <v>9.7362924038991057E-3</v>
      </c>
      <c r="U291" s="154">
        <f>AVERAGE(T291,S291,Q291,P291)</f>
        <v>9.6675480743705008E-3</v>
      </c>
      <c r="V291" s="154">
        <f>AVERAGE(U291,T291,S291,Q291)</f>
        <v>9.6799258335335883E-3</v>
      </c>
      <c r="W291" s="216"/>
      <c r="X291" s="154">
        <f>AVERAGE(V291,U291,T291,S291)</f>
        <v>9.71878213090757E-3</v>
      </c>
      <c r="Y291" s="154">
        <f>AVERAGE(X291,V291,U291,T291)</f>
        <v>9.7006371106776908E-3</v>
      </c>
      <c r="Z291" s="154">
        <f>AVERAGE(Y291,X291,V291,U291)</f>
        <v>9.691723287372337E-3</v>
      </c>
      <c r="AA291" s="154">
        <f>AVERAGE(Z291,Y291,X291,V291)</f>
        <v>9.697767090622797E-3</v>
      </c>
      <c r="AB291" s="216"/>
      <c r="AC291" s="154">
        <f>AVERAGE(AA291,Z291,Y291,X291)</f>
        <v>9.7022274048950991E-3</v>
      </c>
      <c r="AD291" s="154">
        <f>AVERAGE(AC291,AA291,Z291,Y291)</f>
        <v>9.6980887233919805E-3</v>
      </c>
      <c r="AE291" s="154">
        <f>AVERAGE(AD291,AC291,AA291,Z291)</f>
        <v>9.6974516265705534E-3</v>
      </c>
      <c r="AF291" s="154">
        <f>AVERAGE(AE291,AD291,AC291,AA291)</f>
        <v>9.6988837113701071E-3</v>
      </c>
      <c r="AG291" s="216"/>
      <c r="AH291" s="154">
        <f>AVERAGE(AF291,AE291,AD291,AC291)</f>
        <v>9.6991628665569346E-3</v>
      </c>
      <c r="AI291" s="154">
        <f>AVERAGE(AH291,AF291,AE291,AD291)</f>
        <v>9.6983967319723939E-3</v>
      </c>
      <c r="AJ291" s="154">
        <f>AVERAGE(AI291,AH291,AF291,AE291)</f>
        <v>9.6984737341174968E-3</v>
      </c>
      <c r="AK291" s="154">
        <f>AVERAGE(AJ291,AI291,AH291,AF291)</f>
        <v>9.6987292610042335E-3</v>
      </c>
      <c r="AL291" s="216"/>
      <c r="AM291" s="154">
        <f>AVERAGE(AK291,AJ291,AI291,AH291)</f>
        <v>9.6986906484127638E-3</v>
      </c>
      <c r="AN291" s="154">
        <f>AVERAGE(AM291,AK291,AJ291,AI291)</f>
        <v>9.6985725938767212E-3</v>
      </c>
      <c r="AO291" s="154">
        <f>AVERAGE(AN291,AM291,AK291,AJ291)</f>
        <v>9.6986165593528038E-3</v>
      </c>
      <c r="AP291" s="154">
        <f>AVERAGE(AO291,AN291,AM291,AK291)</f>
        <v>9.6986522656616302E-3</v>
      </c>
      <c r="AQ291" s="216"/>
    </row>
    <row r="292" spans="2:43" s="207" customFormat="1" outlineLevel="1" x14ac:dyDescent="0.25">
      <c r="B292" s="391" t="s">
        <v>377</v>
      </c>
      <c r="C292" s="139"/>
      <c r="D292" s="318"/>
      <c r="E292" s="318">
        <f>+((E259+D259)/2)/E15</f>
        <v>0.31345733041575491</v>
      </c>
      <c r="F292" s="318">
        <f t="shared" ref="F292:L292" si="83">+((F259+E259)/2)/F15</f>
        <v>0.31419779286926997</v>
      </c>
      <c r="G292" s="318">
        <f t="shared" si="83"/>
        <v>0.35850439882697949</v>
      </c>
      <c r="H292" s="392"/>
      <c r="I292" s="318">
        <f>+((I259+G259)/2)/I15</f>
        <v>0.33656561852758426</v>
      </c>
      <c r="J292" s="318">
        <f t="shared" si="83"/>
        <v>0.31458994956099384</v>
      </c>
      <c r="K292" s="318">
        <f t="shared" si="83"/>
        <v>0.32020389249304915</v>
      </c>
      <c r="L292" s="318">
        <f t="shared" si="83"/>
        <v>0.32865219770198795</v>
      </c>
      <c r="M292" s="392"/>
      <c r="N292" s="318">
        <f>+((N259+L259)/2)/N15</f>
        <v>0.32348677056904673</v>
      </c>
      <c r="O292" s="318">
        <f t="shared" ref="O292:P292" si="84">+((O259+N259)/2)/O15</f>
        <v>0.31069313827934519</v>
      </c>
      <c r="P292" s="318">
        <f t="shared" si="84"/>
        <v>0.3224377194449089</v>
      </c>
      <c r="Q292" s="318">
        <f>+((Q259+P259)/2)/Q15</f>
        <v>0.3454575930271539</v>
      </c>
      <c r="R292" s="393"/>
      <c r="S292" s="453">
        <f>+N292</f>
        <v>0.32348677056904673</v>
      </c>
      <c r="T292" s="453">
        <f>+O292</f>
        <v>0.31069313827934519</v>
      </c>
      <c r="U292" s="453">
        <f t="shared" ref="U292" si="85">+P292</f>
        <v>0.3224377194449089</v>
      </c>
      <c r="V292" s="453">
        <f t="shared" ref="V292" si="86">+Q292</f>
        <v>0.3454575930271539</v>
      </c>
      <c r="W292" s="392"/>
      <c r="X292" s="453">
        <f>+S292</f>
        <v>0.32348677056904673</v>
      </c>
      <c r="Y292" s="453">
        <f>+T292</f>
        <v>0.31069313827934519</v>
      </c>
      <c r="Z292" s="453">
        <f t="shared" ref="Z292" si="87">+U292</f>
        <v>0.3224377194449089</v>
      </c>
      <c r="AA292" s="453">
        <f t="shared" ref="AA292" si="88">+V292</f>
        <v>0.3454575930271539</v>
      </c>
      <c r="AB292" s="392"/>
      <c r="AC292" s="453">
        <f>+X292</f>
        <v>0.32348677056904673</v>
      </c>
      <c r="AD292" s="453">
        <f>+Y292</f>
        <v>0.31069313827934519</v>
      </c>
      <c r="AE292" s="453">
        <f t="shared" ref="AE292" si="89">+Z292</f>
        <v>0.3224377194449089</v>
      </c>
      <c r="AF292" s="453">
        <f t="shared" ref="AF292" si="90">+AA292</f>
        <v>0.3454575930271539</v>
      </c>
      <c r="AG292" s="392"/>
      <c r="AH292" s="453">
        <f>+AC292</f>
        <v>0.32348677056904673</v>
      </c>
      <c r="AI292" s="453">
        <f>+AD292</f>
        <v>0.31069313827934519</v>
      </c>
      <c r="AJ292" s="453">
        <f t="shared" ref="AJ292" si="91">+AE292</f>
        <v>0.3224377194449089</v>
      </c>
      <c r="AK292" s="453">
        <f t="shared" ref="AK292" si="92">+AF292</f>
        <v>0.3454575930271539</v>
      </c>
      <c r="AL292" s="392"/>
      <c r="AM292" s="453">
        <f>+AH292</f>
        <v>0.32348677056904673</v>
      </c>
      <c r="AN292" s="453">
        <f>+AI292</f>
        <v>0.31069313827934519</v>
      </c>
      <c r="AO292" s="453">
        <f t="shared" ref="AO292" si="93">+AJ292</f>
        <v>0.3224377194449089</v>
      </c>
      <c r="AP292" s="453">
        <f t="shared" ref="AP292" si="94">+AK292</f>
        <v>0.3454575930271539</v>
      </c>
      <c r="AQ292" s="392"/>
    </row>
    <row r="293" spans="2:43" s="207" customFormat="1" outlineLevel="1" x14ac:dyDescent="0.25">
      <c r="B293" s="553" t="s">
        <v>68</v>
      </c>
      <c r="C293" s="554"/>
      <c r="D293" s="394"/>
      <c r="E293" s="394"/>
      <c r="F293" s="394"/>
      <c r="G293" s="395"/>
      <c r="H293" s="396"/>
      <c r="I293" s="395">
        <f>I23/(AVERAGE(I260,2944))</f>
        <v>0.71475409836065573</v>
      </c>
      <c r="J293" s="395">
        <f>J23/(AVERAGE(J260,I260))</f>
        <v>0.75831180017226529</v>
      </c>
      <c r="K293" s="395">
        <f>K23/(AVERAGE(K260,J260))</f>
        <v>0.76311605723370435</v>
      </c>
      <c r="L293" s="395">
        <f>L23/(AVERAGE(L260,K260))</f>
        <v>0.84997252244000732</v>
      </c>
      <c r="M293" s="397"/>
      <c r="N293" s="395">
        <f>N23/(AVERAGE(N260,L260))</f>
        <v>0.79789103690685415</v>
      </c>
      <c r="O293" s="395">
        <f>O23/(AVERAGE(O260,N260))</f>
        <v>0.78718159408381261</v>
      </c>
      <c r="P293" s="395">
        <f>P23/(AVERAGE(P260,O260))</f>
        <v>0.77068330932949269</v>
      </c>
      <c r="Q293" s="395">
        <f>Q23/(AVERAGE(Q260,P260))</f>
        <v>0.77959986880944576</v>
      </c>
      <c r="R293" s="397"/>
      <c r="S293" s="225">
        <f>+N293</f>
        <v>0.79789103690685415</v>
      </c>
      <c r="T293" s="225">
        <f>+O293</f>
        <v>0.78718159408381261</v>
      </c>
      <c r="U293" s="225">
        <f>+P293</f>
        <v>0.77068330932949269</v>
      </c>
      <c r="V293" s="225">
        <f>+Q293</f>
        <v>0.77959986880944576</v>
      </c>
      <c r="W293" s="397"/>
      <c r="X293" s="225">
        <f>+S293</f>
        <v>0.79789103690685415</v>
      </c>
      <c r="Y293" s="225">
        <f>+T293</f>
        <v>0.78718159408381261</v>
      </c>
      <c r="Z293" s="225">
        <f>+U293</f>
        <v>0.77068330932949269</v>
      </c>
      <c r="AA293" s="225">
        <f>+V293</f>
        <v>0.77959986880944576</v>
      </c>
      <c r="AB293" s="397"/>
      <c r="AC293" s="225">
        <f>+X293</f>
        <v>0.79789103690685415</v>
      </c>
      <c r="AD293" s="225">
        <f>+Y293</f>
        <v>0.78718159408381261</v>
      </c>
      <c r="AE293" s="225">
        <f>+Z293</f>
        <v>0.77068330932949269</v>
      </c>
      <c r="AF293" s="225">
        <f>+AA293</f>
        <v>0.77959986880944576</v>
      </c>
      <c r="AG293" s="397"/>
      <c r="AH293" s="225">
        <f>+AC293</f>
        <v>0.79789103690685415</v>
      </c>
      <c r="AI293" s="225">
        <f>+AD293</f>
        <v>0.78718159408381261</v>
      </c>
      <c r="AJ293" s="225">
        <f>+AE293</f>
        <v>0.77068330932949269</v>
      </c>
      <c r="AK293" s="225">
        <f>+AF293</f>
        <v>0.77959986880944576</v>
      </c>
      <c r="AL293" s="397"/>
      <c r="AM293" s="225">
        <f>+AH293</f>
        <v>0.79789103690685415</v>
      </c>
      <c r="AN293" s="225">
        <f>+AI293</f>
        <v>0.78718159408381261</v>
      </c>
      <c r="AO293" s="225">
        <f>+AJ293</f>
        <v>0.77068330932949269</v>
      </c>
      <c r="AP293" s="225">
        <f>+AK293</f>
        <v>0.77959986880944576</v>
      </c>
      <c r="AQ293" s="396"/>
    </row>
    <row r="294" spans="2:43" s="88" customFormat="1" outlineLevel="1" x14ac:dyDescent="0.25">
      <c r="B294" s="553" t="s">
        <v>27</v>
      </c>
      <c r="C294" s="554"/>
      <c r="D294" s="377"/>
      <c r="E294" s="377"/>
      <c r="F294" s="377"/>
      <c r="G294" s="377"/>
      <c r="H294" s="398"/>
      <c r="I294" s="377">
        <f>I288/I293</f>
        <v>128.71559633027522</v>
      </c>
      <c r="J294" s="377">
        <f>J288/J293</f>
        <v>120.00340754202635</v>
      </c>
      <c r="K294" s="377">
        <f>K288/K293</f>
        <v>117.93749999999999</v>
      </c>
      <c r="L294" s="377">
        <f>L288/L293</f>
        <v>108.23879310344827</v>
      </c>
      <c r="M294" s="398"/>
      <c r="N294" s="377">
        <f>N288/N293</f>
        <v>115.30396475770925</v>
      </c>
      <c r="O294" s="377">
        <f>O288/O293</f>
        <v>115.60229645093946</v>
      </c>
      <c r="P294" s="377">
        <f>P288/P293</f>
        <v>116.77948504983389</v>
      </c>
      <c r="Q294" s="377">
        <f>Q288/Q293</f>
        <v>118.00925536390407</v>
      </c>
      <c r="R294" s="398"/>
      <c r="S294" s="377">
        <f>S288/S293</f>
        <v>115.30396475770925</v>
      </c>
      <c r="T294" s="377">
        <f>T288/T293</f>
        <v>115.60229645093946</v>
      </c>
      <c r="U294" s="377">
        <f>U288/U293</f>
        <v>116.77948504983389</v>
      </c>
      <c r="V294" s="377">
        <f>V288/V293</f>
        <v>118.00925536390407</v>
      </c>
      <c r="W294" s="398"/>
      <c r="X294" s="377">
        <f>X288/X293</f>
        <v>115.30396475770925</v>
      </c>
      <c r="Y294" s="377">
        <f>Y288/Y293</f>
        <v>115.60229645093946</v>
      </c>
      <c r="Z294" s="377">
        <f>Z288/Z293</f>
        <v>118.07703488372094</v>
      </c>
      <c r="AA294" s="377">
        <f>AA288/AA293</f>
        <v>118.00925536390407</v>
      </c>
      <c r="AB294" s="398"/>
      <c r="AC294" s="377">
        <f>AC288/AC293</f>
        <v>115.30396475770925</v>
      </c>
      <c r="AD294" s="377">
        <f>AD288/AD293</f>
        <v>115.60229645093946</v>
      </c>
      <c r="AE294" s="377">
        <f>AE288/AE293</f>
        <v>116.77948504983389</v>
      </c>
      <c r="AF294" s="377">
        <f>AF288/AF293</f>
        <v>118.00925536390407</v>
      </c>
      <c r="AG294" s="398"/>
      <c r="AH294" s="377">
        <f>AH288/AH293</f>
        <v>115.30396475770925</v>
      </c>
      <c r="AI294" s="377">
        <f>AI288/AI293</f>
        <v>115.60229645093946</v>
      </c>
      <c r="AJ294" s="377">
        <f>AJ288/AJ293</f>
        <v>116.77948504983389</v>
      </c>
      <c r="AK294" s="377">
        <f>AK288/AK293</f>
        <v>118.00925536390407</v>
      </c>
      <c r="AL294" s="398"/>
      <c r="AM294" s="377">
        <f>AM288/AM293</f>
        <v>115.30396475770925</v>
      </c>
      <c r="AN294" s="377">
        <f>AN288/AN293</f>
        <v>115.60229645093946</v>
      </c>
      <c r="AO294" s="377">
        <f>AO288/AO293</f>
        <v>116.77948504983389</v>
      </c>
      <c r="AP294" s="377">
        <f>AP288/AP293</f>
        <v>118.00925536390407</v>
      </c>
      <c r="AQ294" s="398"/>
    </row>
    <row r="295" spans="2:43" s="88" customFormat="1" outlineLevel="1" x14ac:dyDescent="0.25">
      <c r="B295" s="155" t="s">
        <v>279</v>
      </c>
      <c r="C295" s="105"/>
      <c r="D295" s="368">
        <f>+((D261+2436)/2)/D13</f>
        <v>0.19798029155468685</v>
      </c>
      <c r="E295" s="368">
        <f>+((E261+D261)/2)/E13</f>
        <v>0.18967317112342408</v>
      </c>
      <c r="F295" s="368">
        <f>+((F261+E261)/2)/F13</f>
        <v>0.18772720088509562</v>
      </c>
      <c r="G295" s="368">
        <f>+((G261+F261)/2)/G13</f>
        <v>0.21249711071731259</v>
      </c>
      <c r="H295" s="398"/>
      <c r="I295" s="368">
        <f>+((I261+G261)/2)/I13</f>
        <v>0.20582418331855692</v>
      </c>
      <c r="J295" s="368">
        <f>+((J261+I261)/2)/J13</f>
        <v>0.20152702431183445</v>
      </c>
      <c r="K295" s="368">
        <f>+((K261+J261)/2)/K13</f>
        <v>0.20180702807228112</v>
      </c>
      <c r="L295" s="368">
        <f>+((L261+K261)/2)/L13</f>
        <v>0.1983087487283825</v>
      </c>
      <c r="M295" s="398"/>
      <c r="N295" s="368">
        <f>+((N261+L261)/2)/N13</f>
        <v>0.2094201477413872</v>
      </c>
      <c r="O295" s="368">
        <f>+((O261+N261)/2)/O13</f>
        <v>0.18647704284926134</v>
      </c>
      <c r="P295" s="368">
        <f>+((P261+O261)/2)/P13</f>
        <v>0.17548106014764614</v>
      </c>
      <c r="Q295" s="368">
        <f>+((Q261+P261)/2)/Q13</f>
        <v>0.17254697331676186</v>
      </c>
      <c r="R295" s="399"/>
      <c r="S295" s="223">
        <f>+N295</f>
        <v>0.2094201477413872</v>
      </c>
      <c r="T295" s="223">
        <f t="shared" ref="T295:V296" si="95">+O295</f>
        <v>0.18647704284926134</v>
      </c>
      <c r="U295" s="223">
        <f t="shared" si="95"/>
        <v>0.17548106014764614</v>
      </c>
      <c r="V295" s="223">
        <f t="shared" si="95"/>
        <v>0.17254697331676186</v>
      </c>
      <c r="W295" s="398"/>
      <c r="X295" s="223">
        <f>+S295</f>
        <v>0.2094201477413872</v>
      </c>
      <c r="Y295" s="223">
        <f t="shared" ref="Y295:Y296" si="96">+T295</f>
        <v>0.18647704284926134</v>
      </c>
      <c r="Z295" s="223">
        <f t="shared" ref="Z295:Z296" si="97">+U295</f>
        <v>0.17548106014764614</v>
      </c>
      <c r="AA295" s="223">
        <f t="shared" ref="AA295:AA296" si="98">+V295</f>
        <v>0.17254697331676186</v>
      </c>
      <c r="AB295" s="398"/>
      <c r="AC295" s="223">
        <f>+X295</f>
        <v>0.2094201477413872</v>
      </c>
      <c r="AD295" s="223">
        <f t="shared" ref="AD295:AD296" si="99">+Y295</f>
        <v>0.18647704284926134</v>
      </c>
      <c r="AE295" s="223">
        <f t="shared" ref="AE295:AE296" si="100">+Z295</f>
        <v>0.17548106014764614</v>
      </c>
      <c r="AF295" s="223">
        <f t="shared" ref="AF295:AF296" si="101">+AA295</f>
        <v>0.17254697331676186</v>
      </c>
      <c r="AG295" s="398"/>
      <c r="AH295" s="223">
        <f>+AC295</f>
        <v>0.2094201477413872</v>
      </c>
      <c r="AI295" s="223">
        <f t="shared" ref="AI295:AI296" si="102">+AD295</f>
        <v>0.18647704284926134</v>
      </c>
      <c r="AJ295" s="223">
        <f t="shared" ref="AJ295:AJ296" si="103">+AE295</f>
        <v>0.17548106014764614</v>
      </c>
      <c r="AK295" s="223">
        <f t="shared" ref="AK295:AK296" si="104">+AF295</f>
        <v>0.17254697331676186</v>
      </c>
      <c r="AL295" s="398"/>
      <c r="AM295" s="223">
        <f>+AH295</f>
        <v>0.2094201477413872</v>
      </c>
      <c r="AN295" s="223">
        <f t="shared" ref="AN295:AN296" si="105">+AI295</f>
        <v>0.18647704284926134</v>
      </c>
      <c r="AO295" s="223">
        <f t="shared" ref="AO295:AO296" si="106">+AJ295</f>
        <v>0.17548106014764614</v>
      </c>
      <c r="AP295" s="223">
        <f t="shared" ref="AP295:AP296" si="107">+AK295</f>
        <v>0.17254697331676186</v>
      </c>
      <c r="AQ295" s="398"/>
    </row>
    <row r="296" spans="2:43" s="207" customFormat="1" outlineLevel="1" x14ac:dyDescent="0.25">
      <c r="B296" s="155" t="s">
        <v>292</v>
      </c>
      <c r="C296" s="105"/>
      <c r="D296" s="368">
        <f>((D266+1120)/2)/D13</f>
        <v>9.3900154735727659E-2</v>
      </c>
      <c r="E296" s="368">
        <f>((E266+D266)/2)/E13</f>
        <v>9.8410021681522519E-2</v>
      </c>
      <c r="F296" s="368">
        <f>((F266+E266)/2)/F13</f>
        <v>0.10064011379800854</v>
      </c>
      <c r="G296" s="368">
        <f>((G266+F266)/2)/G13</f>
        <v>0.10000770475383311</v>
      </c>
      <c r="H296" s="398"/>
      <c r="I296" s="368">
        <f>((I266+G266)/2)/I13</f>
        <v>9.0431698833799354E-2</v>
      </c>
      <c r="J296" s="368">
        <f>((J266+I266)/2)/J13</f>
        <v>8.9980577322349473E-2</v>
      </c>
      <c r="K296" s="368">
        <f>((K266+J266)/2)/K13</f>
        <v>9.0851503634060152E-2</v>
      </c>
      <c r="L296" s="368">
        <f>((L266+K266)/2)/L13</f>
        <v>9.1238555442522892E-2</v>
      </c>
      <c r="M296" s="398"/>
      <c r="N296" s="368">
        <f>((N266+L266)/2)/N13</f>
        <v>0.10122899915016016</v>
      </c>
      <c r="O296" s="368">
        <f>((O266+N266)/2)/O13</f>
        <v>9.9736406546925768E-2</v>
      </c>
      <c r="P296" s="368">
        <f>((P266+O266)/2)/P13</f>
        <v>0.1018395255960305</v>
      </c>
      <c r="Q296" s="368">
        <f>((Q266+P266)/2)/Q13</f>
        <v>0.10104466270047695</v>
      </c>
      <c r="R296" s="399"/>
      <c r="S296" s="223">
        <f>+N296</f>
        <v>0.10122899915016016</v>
      </c>
      <c r="T296" s="223">
        <f t="shared" si="95"/>
        <v>9.9736406546925768E-2</v>
      </c>
      <c r="U296" s="223">
        <f t="shared" si="95"/>
        <v>0.1018395255960305</v>
      </c>
      <c r="V296" s="223">
        <f t="shared" si="95"/>
        <v>0.10104466270047695</v>
      </c>
      <c r="W296" s="398"/>
      <c r="X296" s="223">
        <f>+S296</f>
        <v>0.10122899915016016</v>
      </c>
      <c r="Y296" s="223">
        <f t="shared" si="96"/>
        <v>9.9736406546925768E-2</v>
      </c>
      <c r="Z296" s="223">
        <f t="shared" si="97"/>
        <v>0.1018395255960305</v>
      </c>
      <c r="AA296" s="223">
        <f t="shared" si="98"/>
        <v>0.10104466270047695</v>
      </c>
      <c r="AB296" s="398"/>
      <c r="AC296" s="223">
        <f>+X296</f>
        <v>0.10122899915016016</v>
      </c>
      <c r="AD296" s="223">
        <f t="shared" si="99"/>
        <v>9.9736406546925768E-2</v>
      </c>
      <c r="AE296" s="223">
        <f t="shared" si="100"/>
        <v>0.1018395255960305</v>
      </c>
      <c r="AF296" s="223">
        <f t="shared" si="101"/>
        <v>0.10104466270047695</v>
      </c>
      <c r="AG296" s="398"/>
      <c r="AH296" s="223">
        <f>+AC296</f>
        <v>0.10122899915016016</v>
      </c>
      <c r="AI296" s="223">
        <f t="shared" si="102"/>
        <v>9.9736406546925768E-2</v>
      </c>
      <c r="AJ296" s="223">
        <f t="shared" si="103"/>
        <v>0.1018395255960305</v>
      </c>
      <c r="AK296" s="223">
        <f t="shared" si="104"/>
        <v>0.10104466270047695</v>
      </c>
      <c r="AL296" s="398"/>
      <c r="AM296" s="223">
        <f>+AH296</f>
        <v>0.10122899915016016</v>
      </c>
      <c r="AN296" s="223">
        <f t="shared" si="105"/>
        <v>9.9736406546925768E-2</v>
      </c>
      <c r="AO296" s="223">
        <f t="shared" si="106"/>
        <v>0.1018395255960305</v>
      </c>
      <c r="AP296" s="223">
        <f t="shared" si="107"/>
        <v>0.10104466270047695</v>
      </c>
      <c r="AQ296" s="398"/>
    </row>
    <row r="297" spans="2:43" outlineLevel="1" x14ac:dyDescent="0.25">
      <c r="B297" s="553" t="s">
        <v>273</v>
      </c>
      <c r="C297" s="554"/>
      <c r="D297" s="123"/>
      <c r="E297" s="123">
        <f>+E307/((E250+D250)/2)</f>
        <v>1.4636169044390402E-2</v>
      </c>
      <c r="F297" s="123">
        <f>+F307/((F250+E250)/2)</f>
        <v>1.4527685868922146E-2</v>
      </c>
      <c r="G297" s="123">
        <f>+G307/((G250+F250)/2)</f>
        <v>1.4336378291241268E-2</v>
      </c>
      <c r="H297" s="156"/>
      <c r="I297" s="123">
        <f>+I307/((I250+H250)/2)</f>
        <v>1.5535164338494204E-2</v>
      </c>
      <c r="J297" s="123">
        <f>+J307/((J250+I250)/2)</f>
        <v>1.5251599872216325E-2</v>
      </c>
      <c r="K297" s="123">
        <f>+K307/((K250+J250)/2)</f>
        <v>1.5445424141076315E-2</v>
      </c>
      <c r="L297" s="123">
        <f>+L307/((L250+K250)/2)</f>
        <v>1.5023212257666023E-2</v>
      </c>
      <c r="M297" s="156"/>
      <c r="N297" s="123">
        <f>+N307/((N250+M250)/2)</f>
        <v>1.470156412113619E-2</v>
      </c>
      <c r="O297" s="123">
        <f>+O307/((O250+N250)/2)</f>
        <v>1.4430234777629319E-2</v>
      </c>
      <c r="P297" s="123">
        <f>+P307/((P250+O250)/2)</f>
        <v>1.4607357573617551E-2</v>
      </c>
      <c r="Q297" s="123">
        <f>+Q307/((Q250+P250)/2)</f>
        <v>1.4648669382089171E-2</v>
      </c>
      <c r="R297" s="156"/>
      <c r="S297" s="223">
        <v>1.3034756654086887E-2</v>
      </c>
      <c r="T297" s="223">
        <v>1.3034756654086887E-2</v>
      </c>
      <c r="U297" s="223">
        <v>1.3034756654086887E-2</v>
      </c>
      <c r="V297" s="223">
        <v>1.3034756654086887E-2</v>
      </c>
      <c r="W297" s="399"/>
      <c r="X297" s="223">
        <v>1.3034756654086887E-2</v>
      </c>
      <c r="Y297" s="223">
        <v>1.3034756654086887E-2</v>
      </c>
      <c r="Z297" s="223">
        <v>1.3034756654086887E-2</v>
      </c>
      <c r="AA297" s="223">
        <v>1.3034756654086887E-2</v>
      </c>
      <c r="AB297" s="399"/>
      <c r="AC297" s="223">
        <v>1.3034756654086887E-2</v>
      </c>
      <c r="AD297" s="223">
        <v>1.3034756654086887E-2</v>
      </c>
      <c r="AE297" s="223">
        <v>1.3034756654086887E-2</v>
      </c>
      <c r="AF297" s="223">
        <v>1.3034756654086887E-2</v>
      </c>
      <c r="AG297" s="399"/>
      <c r="AH297" s="223">
        <v>1.3034756654086887E-2</v>
      </c>
      <c r="AI297" s="223">
        <v>1.3034756654086887E-2</v>
      </c>
      <c r="AJ297" s="223">
        <v>1.3034756654086887E-2</v>
      </c>
      <c r="AK297" s="223">
        <v>1.3034756654086887E-2</v>
      </c>
      <c r="AL297" s="399"/>
      <c r="AM297" s="223">
        <v>1.3034756654086887E-2</v>
      </c>
      <c r="AN297" s="223">
        <v>1.3034756654086887E-2</v>
      </c>
      <c r="AO297" s="223">
        <v>1.3034756654086887E-2</v>
      </c>
      <c r="AP297" s="223">
        <v>1.3034756654086887E-2</v>
      </c>
      <c r="AQ297" s="156"/>
    </row>
    <row r="298" spans="2:43" s="88" customFormat="1" outlineLevel="1" x14ac:dyDescent="0.25">
      <c r="B298" s="579" t="s">
        <v>64</v>
      </c>
      <c r="C298" s="580"/>
      <c r="D298" s="387">
        <f>(D263+D258+D257)/(D283)</f>
        <v>0.47490675914414709</v>
      </c>
      <c r="E298" s="388">
        <f>(E263+E258+E257)/(E283)</f>
        <v>0.56671114076050699</v>
      </c>
      <c r="F298" s="388">
        <f>(F263+F258+F257)/(F283)</f>
        <v>0.59244782578348576</v>
      </c>
      <c r="G298" s="388">
        <f>(G263+G258+G257)/(G283)</f>
        <v>0.99840394660475917</v>
      </c>
      <c r="H298" s="389"/>
      <c r="I298" s="387">
        <f>(I263+I258+I257)/(I283)</f>
        <v>0.97454391175222743</v>
      </c>
      <c r="J298" s="388">
        <f>(J263+J258+J257)/(J283)</f>
        <v>0.93565480696442094</v>
      </c>
      <c r="K298" s="388">
        <f>(K263+K258+K257)/(K283)</f>
        <v>0.97194415173867232</v>
      </c>
      <c r="L298" s="388">
        <f>(L263+L258+L257)/(L283)</f>
        <v>0.92894916941454608</v>
      </c>
      <c r="M298" s="389"/>
      <c r="N298" s="387">
        <f>(N263+N258+N257)/(N283)</f>
        <v>0.91202310747382354</v>
      </c>
      <c r="O298" s="388">
        <f>(O263+O258+O257)/(O283)</f>
        <v>0.90536499560246264</v>
      </c>
      <c r="P298" s="388">
        <f>(P263+P258+P257)/(P283)</f>
        <v>0.93045411241664022</v>
      </c>
      <c r="Q298" s="388">
        <f>(Q263+Q258+Q257)/(Q283)</f>
        <v>0.85419241862381545</v>
      </c>
      <c r="R298" s="389"/>
      <c r="S298" s="390">
        <f>+Q298</f>
        <v>0.85419241862381545</v>
      </c>
      <c r="T298" s="390">
        <f>+S298</f>
        <v>0.85419241862381545</v>
      </c>
      <c r="U298" s="390">
        <f>+T298</f>
        <v>0.85419241862381545</v>
      </c>
      <c r="V298" s="390">
        <f>+U298</f>
        <v>0.85419241862381545</v>
      </c>
      <c r="W298" s="389"/>
      <c r="X298" s="390">
        <f>+V298</f>
        <v>0.85419241862381545</v>
      </c>
      <c r="Y298" s="390">
        <f>+X298</f>
        <v>0.85419241862381545</v>
      </c>
      <c r="Z298" s="390">
        <f>+Y298</f>
        <v>0.85419241862381545</v>
      </c>
      <c r="AA298" s="390">
        <f>+Z298</f>
        <v>0.85419241862381545</v>
      </c>
      <c r="AB298" s="389"/>
      <c r="AC298" s="390">
        <f>+AA298</f>
        <v>0.85419241862381545</v>
      </c>
      <c r="AD298" s="390">
        <f>+AC298</f>
        <v>0.85419241862381545</v>
      </c>
      <c r="AE298" s="390">
        <f>+AD298</f>
        <v>0.85419241862381545</v>
      </c>
      <c r="AF298" s="390">
        <f>+AE298</f>
        <v>0.85419241862381545</v>
      </c>
      <c r="AG298" s="389"/>
      <c r="AH298" s="390">
        <f>+AF298</f>
        <v>0.85419241862381545</v>
      </c>
      <c r="AI298" s="390">
        <f>+AH298</f>
        <v>0.85419241862381545</v>
      </c>
      <c r="AJ298" s="390">
        <f>+AI298</f>
        <v>0.85419241862381545</v>
      </c>
      <c r="AK298" s="390">
        <f>+AJ298</f>
        <v>0.85419241862381545</v>
      </c>
      <c r="AL298" s="389"/>
      <c r="AM298" s="390">
        <f>+AK298</f>
        <v>0.85419241862381545</v>
      </c>
      <c r="AN298" s="390">
        <f>+AM298</f>
        <v>0.85419241862381545</v>
      </c>
      <c r="AO298" s="390">
        <f>+AN298</f>
        <v>0.85419241862381545</v>
      </c>
      <c r="AP298" s="390">
        <f>+AO298</f>
        <v>0.85419241862381545</v>
      </c>
      <c r="AQ298" s="389"/>
    </row>
    <row r="299" spans="2:43" outlineLevel="1" x14ac:dyDescent="0.25">
      <c r="B299" s="292" t="s">
        <v>277</v>
      </c>
      <c r="C299" s="410"/>
      <c r="D299" s="171">
        <f>D257/(D257+D258+D263)</f>
        <v>0</v>
      </c>
      <c r="E299" s="212">
        <f>E257/(E257+E258+E263)</f>
        <v>0</v>
      </c>
      <c r="F299" s="212">
        <f>F257/(F257+F258+F263)</f>
        <v>0</v>
      </c>
      <c r="G299" s="212">
        <f>G257/(G257+G258+G263)</f>
        <v>0</v>
      </c>
      <c r="H299" s="38"/>
      <c r="I299" s="171">
        <f>I257/(I257+I258+I263)</f>
        <v>0</v>
      </c>
      <c r="J299" s="212">
        <f>J257/(J257+J258+J263)</f>
        <v>0</v>
      </c>
      <c r="K299" s="212">
        <f>K257/(K257+K258+K263)</f>
        <v>0</v>
      </c>
      <c r="L299" s="212">
        <f>L257/(L257+L258+L263)</f>
        <v>0</v>
      </c>
      <c r="M299" s="38"/>
      <c r="N299" s="171">
        <f>N257/(N257+N258+N263)</f>
        <v>0</v>
      </c>
      <c r="O299" s="212">
        <f>O257/(O257+O258+O263)</f>
        <v>1.6190661226604494E-2</v>
      </c>
      <c r="P299" s="212">
        <f>P257/(P257+P258+P263)</f>
        <v>4.5449374288964735E-2</v>
      </c>
      <c r="Q299" s="212">
        <f>Q257/(Q257+Q258+Q263)</f>
        <v>0</v>
      </c>
      <c r="R299" s="186"/>
      <c r="S299" s="223">
        <f>Q299</f>
        <v>0</v>
      </c>
      <c r="T299" s="223">
        <f t="shared" ref="T299:V300" si="108">S299</f>
        <v>0</v>
      </c>
      <c r="U299" s="223">
        <f t="shared" si="108"/>
        <v>0</v>
      </c>
      <c r="V299" s="223">
        <f t="shared" si="108"/>
        <v>0</v>
      </c>
      <c r="W299" s="38"/>
      <c r="X299" s="222">
        <f>AVERAGE(V299,U299,T299,S299)</f>
        <v>0</v>
      </c>
      <c r="Y299" s="222">
        <f>AVERAGE(X299,V299,U299,T299)</f>
        <v>0</v>
      </c>
      <c r="Z299" s="222">
        <f>AVERAGE(Y299,X299,V299,U299)</f>
        <v>0</v>
      </c>
      <c r="AA299" s="222">
        <f>AVERAGE(Z299,Y299,X299,V299)</f>
        <v>0</v>
      </c>
      <c r="AB299" s="38"/>
      <c r="AC299" s="222">
        <f>AVERAGE(AA299,Z299,Y299,X299)</f>
        <v>0</v>
      </c>
      <c r="AD299" s="222">
        <f>AVERAGE(AC299,AA299,Z299,Y299)</f>
        <v>0</v>
      </c>
      <c r="AE299" s="222">
        <f>AVERAGE(AD299,AC299,AA299,Z299)</f>
        <v>0</v>
      </c>
      <c r="AF299" s="222">
        <f>AVERAGE(AE299,AD299,AC299,AA299)</f>
        <v>0</v>
      </c>
      <c r="AG299" s="38"/>
      <c r="AH299" s="222">
        <f>AVERAGE(AF299,AE299,AD299,AC299)</f>
        <v>0</v>
      </c>
      <c r="AI299" s="222">
        <f>AVERAGE(AH299,AF299,AE299,AD299)</f>
        <v>0</v>
      </c>
      <c r="AJ299" s="222">
        <f>AVERAGE(AI299,AH299,AF299,AE299)</f>
        <v>0</v>
      </c>
      <c r="AK299" s="222">
        <f>AVERAGE(AJ299,AI299,AH299,AF299)</f>
        <v>0</v>
      </c>
      <c r="AL299" s="38"/>
      <c r="AM299" s="222">
        <f>AVERAGE(AK299,AJ299,AI299,AH299)</f>
        <v>0</v>
      </c>
      <c r="AN299" s="222">
        <f>AVERAGE(AM299,AK299,AJ299,AI299)</f>
        <v>0</v>
      </c>
      <c r="AO299" s="222">
        <f>AVERAGE(AN299,AM299,AK299,AJ299)</f>
        <v>0</v>
      </c>
      <c r="AP299" s="222">
        <f>AVERAGE(AO299,AN299,AM299,AK299)</f>
        <v>0</v>
      </c>
      <c r="AQ299" s="38"/>
    </row>
    <row r="300" spans="2:43" outlineLevel="1" x14ac:dyDescent="0.25">
      <c r="B300" s="292" t="s">
        <v>278</v>
      </c>
      <c r="C300" s="410"/>
      <c r="D300" s="171">
        <f>D258/(D257+D258+D263)</f>
        <v>1.9289060347203086E-3</v>
      </c>
      <c r="E300" s="212">
        <f>E258/(E257+E258+E263)</f>
        <v>1.64802825191289E-3</v>
      </c>
      <c r="F300" s="212">
        <f>F258/(F257+F258+F263)</f>
        <v>1.2959472196041471E-3</v>
      </c>
      <c r="G300" s="212">
        <f>G258/(G257+G258+G263)</f>
        <v>2.1072518529283535E-3</v>
      </c>
      <c r="H300" s="38"/>
      <c r="I300" s="171">
        <f>I258/(I257+I258+I263)</f>
        <v>3.4102452474241763E-3</v>
      </c>
      <c r="J300" s="212">
        <f>J258/(J257+J258+J263)</f>
        <v>3.162694910267726E-3</v>
      </c>
      <c r="K300" s="212">
        <f>K258/(K257+K258+K263)</f>
        <v>3.0491936576771922E-3</v>
      </c>
      <c r="L300" s="212">
        <f>L258/(L257+L258+L263)</f>
        <v>1.4734445114191949E-3</v>
      </c>
      <c r="M300" s="38"/>
      <c r="N300" s="171">
        <f>N258/(N257+N258+N263)</f>
        <v>1.253628925837952E-3</v>
      </c>
      <c r="O300" s="212">
        <f>O258/(O257+O258+O263)</f>
        <v>7.1238909397059781E-4</v>
      </c>
      <c r="P300" s="212">
        <f>P258/(P257+P258+P263)</f>
        <v>4.3458475540386801E-2</v>
      </c>
      <c r="Q300" s="212">
        <f>Q258/(Q257+Q258+Q263)</f>
        <v>8.091649080494423E-2</v>
      </c>
      <c r="R300" s="186"/>
      <c r="S300" s="223">
        <f>Q300</f>
        <v>8.091649080494423E-2</v>
      </c>
      <c r="T300" s="223">
        <f t="shared" si="108"/>
        <v>8.091649080494423E-2</v>
      </c>
      <c r="U300" s="223">
        <f t="shared" si="108"/>
        <v>8.091649080494423E-2</v>
      </c>
      <c r="V300" s="223">
        <f t="shared" si="108"/>
        <v>8.091649080494423E-2</v>
      </c>
      <c r="W300" s="38"/>
      <c r="X300" s="222">
        <f>AVERAGE(V300,U300,T300,S300)</f>
        <v>8.091649080494423E-2</v>
      </c>
      <c r="Y300" s="222">
        <f>AVERAGE(X300,V300,U300,T300)</f>
        <v>8.091649080494423E-2</v>
      </c>
      <c r="Z300" s="222">
        <f>AVERAGE(Y300,X300,V300,U300)</f>
        <v>8.091649080494423E-2</v>
      </c>
      <c r="AA300" s="222">
        <f>AVERAGE(Z300,Y300,X300,V300)</f>
        <v>8.091649080494423E-2</v>
      </c>
      <c r="AB300" s="38"/>
      <c r="AC300" s="222">
        <f>AVERAGE(AA300,Z300,Y300,X300)</f>
        <v>8.091649080494423E-2</v>
      </c>
      <c r="AD300" s="222">
        <f>AVERAGE(AC300,AA300,Z300,Y300)</f>
        <v>8.091649080494423E-2</v>
      </c>
      <c r="AE300" s="222">
        <f>AVERAGE(AD300,AC300,AA300,Z300)</f>
        <v>8.091649080494423E-2</v>
      </c>
      <c r="AF300" s="222">
        <f>AVERAGE(AE300,AD300,AC300,AA300)</f>
        <v>8.091649080494423E-2</v>
      </c>
      <c r="AG300" s="38"/>
      <c r="AH300" s="222">
        <f>AVERAGE(AF300,AE300,AD300,AC300)</f>
        <v>8.091649080494423E-2</v>
      </c>
      <c r="AI300" s="222">
        <f>AVERAGE(AH300,AF300,AE300,AD300)</f>
        <v>8.091649080494423E-2</v>
      </c>
      <c r="AJ300" s="222">
        <f>AVERAGE(AI300,AH300,AF300,AE300)</f>
        <v>8.091649080494423E-2</v>
      </c>
      <c r="AK300" s="222">
        <f>AVERAGE(AJ300,AI300,AH300,AF300)</f>
        <v>8.091649080494423E-2</v>
      </c>
      <c r="AL300" s="38"/>
      <c r="AM300" s="222">
        <f>AVERAGE(AK300,AJ300,AI300,AH300)</f>
        <v>8.091649080494423E-2</v>
      </c>
      <c r="AN300" s="222">
        <f>AVERAGE(AM300,AK300,AJ300,AI300)</f>
        <v>8.091649080494423E-2</v>
      </c>
      <c r="AO300" s="222">
        <f>AVERAGE(AN300,AM300,AK300,AJ300)</f>
        <v>8.091649080494423E-2</v>
      </c>
      <c r="AP300" s="222">
        <f>AVERAGE(AO300,AN300,AM300,AK300)</f>
        <v>8.091649080494423E-2</v>
      </c>
      <c r="AQ300" s="38"/>
    </row>
    <row r="301" spans="2:43" outlineLevel="1" x14ac:dyDescent="0.25">
      <c r="B301" s="547" t="s">
        <v>276</v>
      </c>
      <c r="C301" s="548"/>
      <c r="D301" s="21"/>
      <c r="E301" s="251"/>
      <c r="F301" s="21"/>
      <c r="G301" s="21"/>
      <c r="H301" s="40"/>
      <c r="I301" s="21"/>
      <c r="J301" s="21"/>
      <c r="K301" s="21"/>
      <c r="L301" s="21"/>
      <c r="M301" s="40"/>
      <c r="N301" s="252" t="str">
        <f>(ROUND(((((N257+N258+N263)+(L257+L258+L263)+(K257+K258+K263)+(J257+J258+J263))/4)/(N35+L35+K35+J35+N205+L205+K205+J205)),0))&amp;"x"</f>
        <v>2x</v>
      </c>
      <c r="O301" s="252" t="str">
        <f>(ROUND(((((O257+O258+O263)+(N257+N258+N263)+(L257+L258+L263)+(K257+K258+K263))/4)/(O35+N35+L35+K35+O205+N205+L205+K205)),0))&amp;"x"</f>
        <v>2x</v>
      </c>
      <c r="P301" s="252" t="str">
        <f>(ROUND(((((P257+P258+P263)+(O257+O258+O263)+(N257+N258+N263)+(L257+L258+L263))/4)/(P35+O35+N35+L35+P205+O205+N205+L205)),0))&amp;"x"</f>
        <v>2x</v>
      </c>
      <c r="Q301" s="252" t="str">
        <f>(ROUND(((((Q257+Q258+Q263)+(P257+P258+P263)+(O257+O258+O263)+(N257+N258+N263))/4)/(Q35+P35+O35+N35+Q205+P205+O205+N205)),0))&amp;"x"</f>
        <v>2x</v>
      </c>
      <c r="R301" s="309" t="str">
        <f>(ROUND(((((Q257+Q258+Q263)+(P257+P258+P263)+(O257+O258+O263)+(N257+N258+N263))/4)/(R35+R205)),0))&amp;"x"</f>
        <v>2x</v>
      </c>
      <c r="S301" s="252" t="str">
        <f>(ROUND(((((S257+S258+S263)+(Q257+Q258+Q263)+(P257+P258+P263)+(O257+O258+O263))/4)/(S35+Q35+P35+O35+S205+Q205+P205+O205)),0))&amp;"x"</f>
        <v>2x</v>
      </c>
      <c r="T301" s="252" t="str">
        <f>(ROUND(((((T257+T258+T263)+(S257+S258+S263)+(Q257+Q258+Q263)+(P257+P258+P263))/4)/(T35+S35+Q35+P35+T205+S205+Q205+P205)),0))&amp;"x"</f>
        <v>2x</v>
      </c>
      <c r="U301" s="252" t="str">
        <f>(ROUND(((((U257+U258+U263)+(T257+T258+T263)+(S257+S258+S263)+(Q257+Q258+Q263))/4)/(U35+T35+S35+Q35+U205+T205+S205+Q205)),0))&amp;"x"</f>
        <v>2x</v>
      </c>
      <c r="V301" s="252" t="str">
        <f>(ROUND(((((V257+V258+V263)+(U257+U258+U263)+(T257+T258+T263)+(S257+S258+S263))/4)/(V35+U35+T35+S35+V205+U205+T205+S205)),0))&amp;"x"</f>
        <v>2x</v>
      </c>
      <c r="W301" s="309" t="str">
        <f>(ROUND(((((V257+V258+V263)+(U257+U258+U263)+(T257+T258+T263)+(S257+S258+S263))/4)/(W35+W205)),0))&amp;"x"</f>
        <v>2x</v>
      </c>
      <c r="X301" s="252" t="str">
        <f>(ROUND(((((X257+X258+X263)+(V257+V258+V263)+(U257+U258+U263)+(T257+T258+T263))/4)/(X35+V35+U35+T35+X205+V205+U205+T205)),0))&amp;"x"</f>
        <v>2x</v>
      </c>
      <c r="Y301" s="252" t="str">
        <f>(ROUND(((((Y257+Y258+Y263)+(X257+X258+X263)+(V257+V258+V263)+(U257+U258+U263))/4)/(Y35+X35+V35+U35+Y205+X205+V205+U205)),0))&amp;"x"</f>
        <v>2x</v>
      </c>
      <c r="Z301" s="252" t="str">
        <f>(ROUND(((((Z257+Z258+Z263)+(Y257+Y258+Y263)+(X257+X258+X263)+(V257+V258+V263))/4)/(Z35+Y35+X35+V35+Z205+Y205+X205+V205)),0))&amp;"x"</f>
        <v>2x</v>
      </c>
      <c r="AA301" s="252" t="str">
        <f>(ROUND(((((AA257+AA258+AA263)+(Z257+Z258+Z263)+(Y257+Y258+Y263)+(X257+X258+X263))/4)/(AA35+Z35+Y35+X35+AA205+Z205+Y205+X205)),0))&amp;"x"</f>
        <v>2x</v>
      </c>
      <c r="AB301" s="309" t="str">
        <f>(ROUND(((((AA257+AA258+AA263)+(Z257+Z258+Z263)+(Y257+Y258+Y263)+(X257+X258+X263))/4)/(AB35+AB205)),0))&amp;"x"</f>
        <v>2x</v>
      </c>
      <c r="AC301" s="252" t="str">
        <f>(ROUND(((((AC257+AC258+AC263)+(AA257+AA258+AA263)+(Z257+Z258+Z263)+(Y257+Y258+Y263))/4)/(AC35+AA35+Z35+Y35+AC205+AA205+Z205+Y205)),0))&amp;"x"</f>
        <v>3x</v>
      </c>
      <c r="AD301" s="252" t="str">
        <f>(ROUND(((((AD257+AD258+AD263)+(AC257+AC258+AC263)+(AA257+AA258+AA263)+(Z257+Z258+Z263))/4)/(AD35+AC35+AA35+Z35+AD205+AC205+AA205+Z205)),0))&amp;"x"</f>
        <v>3x</v>
      </c>
      <c r="AE301" s="252" t="str">
        <f>(ROUND(((((AE257+AE258+AE263)+(AD257+AD258+AD263)+(AC257+AC258+AC263)+(AA257+AA258+AA263))/4)/(AE35+AD35+AC35+AA35+AE205+AD205+AC205+AA205)),0))&amp;"x"</f>
        <v>3x</v>
      </c>
      <c r="AF301" s="252" t="str">
        <f>(ROUND(((((AF257+AF258+AF263)+(AE257+AE258+AE263)+(AD257+AD258+AD263)+(AC257+AC258+AC263))/4)/(AF35+AE35+AD35+AC35+AF205+AE205+AD205+AC205)),0))&amp;"x"</f>
        <v>3x</v>
      </c>
      <c r="AG301" s="309" t="str">
        <f>(ROUND(((((AF257+AF258+AF263)+(AE257+AE258+AE263)+(AD257+AD258+AD263)+(AC257+AC258+AC263))/4)/(AG35+AG205)),0))&amp;"x"</f>
        <v>3x</v>
      </c>
      <c r="AH301" s="252" t="str">
        <f>(ROUND(((((AH257+AH258+AH263)+(AF257+AF258+AF263)+(AE257+AE258+AE263)+(AD257+AD258+AD263))/4)/(AH35+AF35+AE35+AD35+AH205+AF205+AE205+AD205)),0))&amp;"x"</f>
        <v>3x</v>
      </c>
      <c r="AI301" s="252" t="str">
        <f>(ROUND(((((AI257+AI258+AI263)+(AH257+AH258+AH263)+(AF257+AF258+AF263)+(AE257+AE258+AE263))/4)/(AI35+AH35+AF35+AE35+AI205+AH205+AF205+AE205)),0))&amp;"x"</f>
        <v>3x</v>
      </c>
      <c r="AJ301" s="252" t="str">
        <f>(ROUND(((((AJ257+AJ258+AJ263)+(AI257+AI258+AI263)+(AH257+AH258+AH263)+(AF257+AF258+AF263))/4)/(AJ35+AI35+AH35+AF35+AJ205+AI205+AH205+AF205)),0))&amp;"x"</f>
        <v>3x</v>
      </c>
      <c r="AK301" s="252" t="str">
        <f>(ROUND(((((AK257+AK258+AK263)+(AJ257+AJ258+AJ263)+(AI257+AI258+AI263)+(AH257+AH258+AH263))/4)/(AK35+AJ35+AI35+AH35+AK205+AJ205+AI205+AH205)),0))&amp;"x"</f>
        <v>3x</v>
      </c>
      <c r="AL301" s="309" t="str">
        <f>(ROUND(((((AK257+AK258+AK263)+(AJ257+AJ258+AJ263)+(AI257+AI258+AI263)+(AH257+AH258+AH263))/4)/(AL35+AL205)),0))&amp;"x"</f>
        <v>3x</v>
      </c>
      <c r="AM301" s="252" t="str">
        <f>(ROUND(((((AM257+AM258+AM263)+(AK257+AK258+AK263)+(AJ257+AJ258+AJ263)+(AI257+AI258+AI263))/4)/(AM35+AK35+AJ35+AI35+AM205+AK205+AJ205+AI205)),0))&amp;"x"</f>
        <v>3x</v>
      </c>
      <c r="AN301" s="252" t="str">
        <f>(ROUND(((((AN257+AN258+AN263)+(AM257+AM258+AM263)+(AK257+AK258+AK263)+(AJ257+AJ258+AJ263))/4)/(AN35+AM35+AK35+AJ35+AN205+AM205+AK205+AJ205)),0))&amp;"x"</f>
        <v>3x</v>
      </c>
      <c r="AO301" s="252" t="str">
        <f>(ROUND(((((AO257+AO258+AO263)+(AN257+AN258+AN263)+(AM257+AM258+AM263)+(AK257+AK258+AK263))/4)/(AO35+AN35+AM35+AK35+AO205+AN205+AM205+AK205)),0))&amp;"x"</f>
        <v>3x</v>
      </c>
      <c r="AP301" s="252" t="str">
        <f>(ROUND(((((AP257+AP258+AP263)+(AO257+AO258+AO263)+(AN257+AN258+AN263)+(AM257+AM258+AM263))/4)/(AP35+AO35+AN35+AM35+AP205+AO205+AN205+AM205)),0))&amp;"x"</f>
        <v>3x</v>
      </c>
      <c r="AQ301" s="309" t="str">
        <f>(ROUND(((((AP257+AP258+AP263)+(AO257+AO258+AO263)+(AN257+AN258+AN263)+(AM257+AM258+AM263))/4)/(AQ35+AQ205)),0))&amp;"x"</f>
        <v>3x</v>
      </c>
    </row>
    <row r="302" spans="2:43" x14ac:dyDescent="0.25">
      <c r="B302" s="29"/>
      <c r="C302" s="29"/>
      <c r="D302" s="41"/>
      <c r="H302" s="56"/>
      <c r="M302" s="14"/>
      <c r="N302" s="14"/>
      <c r="O302" s="57"/>
    </row>
    <row r="303" spans="2:43" ht="15.75" x14ac:dyDescent="0.25">
      <c r="B303" s="532" t="s">
        <v>80</v>
      </c>
      <c r="C303" s="540"/>
      <c r="D303" s="67" t="s">
        <v>88</v>
      </c>
      <c r="E303" s="67" t="s">
        <v>89</v>
      </c>
      <c r="F303" s="67" t="s">
        <v>90</v>
      </c>
      <c r="G303" s="67" t="s">
        <v>91</v>
      </c>
      <c r="H303" s="403" t="s">
        <v>91</v>
      </c>
      <c r="I303" s="67" t="s">
        <v>92</v>
      </c>
      <c r="J303" s="67" t="s">
        <v>93</v>
      </c>
      <c r="K303" s="67" t="s">
        <v>94</v>
      </c>
      <c r="L303" s="67" t="s">
        <v>95</v>
      </c>
      <c r="M303" s="403" t="s">
        <v>95</v>
      </c>
      <c r="N303" s="67" t="s">
        <v>96</v>
      </c>
      <c r="O303" s="67" t="s">
        <v>97</v>
      </c>
      <c r="P303" s="67" t="s">
        <v>98</v>
      </c>
      <c r="Q303" s="67" t="s">
        <v>99</v>
      </c>
      <c r="R303" s="403" t="s">
        <v>99</v>
      </c>
      <c r="S303" s="69" t="s">
        <v>100</v>
      </c>
      <c r="T303" s="69" t="s">
        <v>101</v>
      </c>
      <c r="U303" s="69" t="s">
        <v>102</v>
      </c>
      <c r="V303" s="69" t="s">
        <v>103</v>
      </c>
      <c r="W303" s="407" t="s">
        <v>103</v>
      </c>
      <c r="X303" s="69" t="s">
        <v>104</v>
      </c>
      <c r="Y303" s="69" t="s">
        <v>105</v>
      </c>
      <c r="Z303" s="69" t="s">
        <v>106</v>
      </c>
      <c r="AA303" s="69" t="s">
        <v>107</v>
      </c>
      <c r="AB303" s="407" t="s">
        <v>107</v>
      </c>
      <c r="AC303" s="69" t="s">
        <v>108</v>
      </c>
      <c r="AD303" s="69" t="s">
        <v>109</v>
      </c>
      <c r="AE303" s="69" t="s">
        <v>110</v>
      </c>
      <c r="AF303" s="69" t="s">
        <v>111</v>
      </c>
      <c r="AG303" s="407" t="s">
        <v>111</v>
      </c>
      <c r="AH303" s="69" t="s">
        <v>112</v>
      </c>
      <c r="AI303" s="69" t="s">
        <v>113</v>
      </c>
      <c r="AJ303" s="69" t="s">
        <v>114</v>
      </c>
      <c r="AK303" s="69" t="s">
        <v>115</v>
      </c>
      <c r="AL303" s="407" t="s">
        <v>115</v>
      </c>
      <c r="AM303" s="69" t="s">
        <v>116</v>
      </c>
      <c r="AN303" s="69" t="s">
        <v>117</v>
      </c>
      <c r="AO303" s="69" t="s">
        <v>118</v>
      </c>
      <c r="AP303" s="69" t="s">
        <v>119</v>
      </c>
      <c r="AQ303" s="407" t="s">
        <v>119</v>
      </c>
    </row>
    <row r="304" spans="2:43" ht="17.25" x14ac:dyDescent="0.4">
      <c r="B304" s="294" t="s">
        <v>3</v>
      </c>
      <c r="C304" s="409"/>
      <c r="D304" s="68" t="s">
        <v>52</v>
      </c>
      <c r="E304" s="68" t="s">
        <v>55</v>
      </c>
      <c r="F304" s="68" t="s">
        <v>56</v>
      </c>
      <c r="G304" s="68" t="s">
        <v>60</v>
      </c>
      <c r="H304" s="404" t="s">
        <v>61</v>
      </c>
      <c r="I304" s="68" t="s">
        <v>62</v>
      </c>
      <c r="J304" s="68" t="s">
        <v>73</v>
      </c>
      <c r="K304" s="68" t="s">
        <v>77</v>
      </c>
      <c r="L304" s="68" t="s">
        <v>81</v>
      </c>
      <c r="M304" s="404" t="s">
        <v>82</v>
      </c>
      <c r="N304" s="68" t="s">
        <v>83</v>
      </c>
      <c r="O304" s="68" t="s">
        <v>84</v>
      </c>
      <c r="P304" s="68" t="s">
        <v>85</v>
      </c>
      <c r="Q304" s="68" t="s">
        <v>86</v>
      </c>
      <c r="R304" s="404" t="s">
        <v>87</v>
      </c>
      <c r="S304" s="66" t="s">
        <v>344</v>
      </c>
      <c r="T304" s="66" t="s">
        <v>345</v>
      </c>
      <c r="U304" s="66" t="s">
        <v>346</v>
      </c>
      <c r="V304" s="66" t="s">
        <v>347</v>
      </c>
      <c r="W304" s="408" t="s">
        <v>348</v>
      </c>
      <c r="X304" s="66" t="s">
        <v>349</v>
      </c>
      <c r="Y304" s="66" t="s">
        <v>350</v>
      </c>
      <c r="Z304" s="66" t="s">
        <v>351</v>
      </c>
      <c r="AA304" s="66" t="s">
        <v>352</v>
      </c>
      <c r="AB304" s="408" t="s">
        <v>353</v>
      </c>
      <c r="AC304" s="66" t="s">
        <v>354</v>
      </c>
      <c r="AD304" s="66" t="s">
        <v>355</v>
      </c>
      <c r="AE304" s="66" t="s">
        <v>356</v>
      </c>
      <c r="AF304" s="66" t="s">
        <v>357</v>
      </c>
      <c r="AG304" s="408" t="s">
        <v>358</v>
      </c>
      <c r="AH304" s="66" t="s">
        <v>359</v>
      </c>
      <c r="AI304" s="66" t="s">
        <v>360</v>
      </c>
      <c r="AJ304" s="66" t="s">
        <v>361</v>
      </c>
      <c r="AK304" s="66" t="s">
        <v>362</v>
      </c>
      <c r="AL304" s="408" t="s">
        <v>363</v>
      </c>
      <c r="AM304" s="66" t="s">
        <v>364</v>
      </c>
      <c r="AN304" s="66" t="s">
        <v>365</v>
      </c>
      <c r="AO304" s="66" t="s">
        <v>366</v>
      </c>
      <c r="AP304" s="66" t="s">
        <v>367</v>
      </c>
      <c r="AQ304" s="408" t="s">
        <v>368</v>
      </c>
    </row>
    <row r="305" spans="2:43" outlineLevel="1" x14ac:dyDescent="0.25">
      <c r="B305" s="536" t="s">
        <v>13</v>
      </c>
      <c r="C305" s="537"/>
      <c r="D305" s="49"/>
      <c r="E305" s="49"/>
      <c r="F305" s="49"/>
      <c r="G305" s="49"/>
      <c r="H305" s="20"/>
      <c r="I305" s="49"/>
      <c r="J305" s="70"/>
      <c r="K305" s="49"/>
      <c r="L305" s="49"/>
      <c r="M305" s="20"/>
      <c r="N305" s="49"/>
      <c r="O305" s="49"/>
      <c r="P305" s="49"/>
      <c r="Q305" s="49"/>
      <c r="R305" s="20"/>
      <c r="S305" s="49"/>
      <c r="T305" s="49"/>
      <c r="U305" s="49"/>
      <c r="V305" s="49"/>
      <c r="W305" s="20"/>
      <c r="X305" s="49"/>
      <c r="Y305" s="49"/>
      <c r="Z305" s="49"/>
      <c r="AA305" s="49"/>
      <c r="AB305" s="20"/>
      <c r="AC305" s="49"/>
      <c r="AD305" s="49"/>
      <c r="AE305" s="49"/>
      <c r="AF305" s="49"/>
      <c r="AG305" s="20"/>
      <c r="AH305" s="49"/>
      <c r="AI305" s="49"/>
      <c r="AJ305" s="49"/>
      <c r="AK305" s="49"/>
      <c r="AL305" s="20"/>
      <c r="AM305" s="49"/>
      <c r="AN305" s="49"/>
      <c r="AO305" s="49"/>
      <c r="AP305" s="49"/>
      <c r="AQ305" s="20"/>
    </row>
    <row r="306" spans="2:43" outlineLevel="1" x14ac:dyDescent="0.25">
      <c r="B306" s="549" t="s">
        <v>14</v>
      </c>
      <c r="C306" s="550"/>
      <c r="D306" s="70">
        <f t="shared" ref="D306:AQ306" si="109">D37</f>
        <v>692</v>
      </c>
      <c r="E306" s="70">
        <f t="shared" si="109"/>
        <v>691</v>
      </c>
      <c r="F306" s="70">
        <f t="shared" si="109"/>
        <v>507</v>
      </c>
      <c r="G306" s="70">
        <f t="shared" si="109"/>
        <v>-70</v>
      </c>
      <c r="H306" s="71">
        <f t="shared" si="109"/>
        <v>1820</v>
      </c>
      <c r="I306" s="70">
        <f t="shared" si="109"/>
        <v>715</v>
      </c>
      <c r="J306" s="70">
        <f t="shared" si="109"/>
        <v>700</v>
      </c>
      <c r="K306" s="70">
        <f t="shared" si="109"/>
        <v>562</v>
      </c>
      <c r="L306" s="70">
        <f t="shared" si="109"/>
        <v>1020</v>
      </c>
      <c r="M306" s="71">
        <f t="shared" si="109"/>
        <v>2997</v>
      </c>
      <c r="N306" s="70">
        <f t="shared" si="109"/>
        <v>596</v>
      </c>
      <c r="O306" s="70">
        <f t="shared" si="109"/>
        <v>775</v>
      </c>
      <c r="P306" s="70">
        <f t="shared" si="109"/>
        <v>2074</v>
      </c>
      <c r="Q306" s="70">
        <f t="shared" si="109"/>
        <v>1127.1257859999969</v>
      </c>
      <c r="R306" s="71">
        <f t="shared" si="109"/>
        <v>4572.1257859999969</v>
      </c>
      <c r="S306" s="70">
        <f t="shared" si="109"/>
        <v>1409.2212173334387</v>
      </c>
      <c r="T306" s="70">
        <f t="shared" si="109"/>
        <v>1574.0847828218753</v>
      </c>
      <c r="U306" s="70">
        <f t="shared" si="109"/>
        <v>1603.6550897521377</v>
      </c>
      <c r="V306" s="70">
        <f t="shared" si="109"/>
        <v>1935.9951595291977</v>
      </c>
      <c r="W306" s="71">
        <f t="shared" si="109"/>
        <v>6522.956249436651</v>
      </c>
      <c r="X306" s="70">
        <f t="shared" si="109"/>
        <v>1620.2710104382497</v>
      </c>
      <c r="Y306" s="70">
        <f t="shared" si="109"/>
        <v>1822.7144598546511</v>
      </c>
      <c r="Z306" s="70">
        <f t="shared" si="109"/>
        <v>1866.8669961975545</v>
      </c>
      <c r="AA306" s="70">
        <f t="shared" si="109"/>
        <v>2075.4416411253901</v>
      </c>
      <c r="AB306" s="71">
        <f t="shared" si="109"/>
        <v>7385.2941076158686</v>
      </c>
      <c r="AC306" s="70">
        <f t="shared" si="109"/>
        <v>1866.3575804590605</v>
      </c>
      <c r="AD306" s="70">
        <f t="shared" si="109"/>
        <v>2092.5252859897346</v>
      </c>
      <c r="AE306" s="70">
        <f t="shared" si="109"/>
        <v>2138.6600833647312</v>
      </c>
      <c r="AF306" s="70">
        <f t="shared" si="109"/>
        <v>2321.9004079725428</v>
      </c>
      <c r="AG306" s="71">
        <f t="shared" si="109"/>
        <v>8419.4433577860691</v>
      </c>
      <c r="AH306" s="70">
        <f t="shared" si="109"/>
        <v>2138.3590108758763</v>
      </c>
      <c r="AI306" s="70">
        <f t="shared" si="109"/>
        <v>2389.0521709913014</v>
      </c>
      <c r="AJ306" s="70">
        <f t="shared" si="109"/>
        <v>2438.8590273591949</v>
      </c>
      <c r="AK306" s="70">
        <f t="shared" si="109"/>
        <v>2638.2798132084727</v>
      </c>
      <c r="AL306" s="71">
        <f t="shared" si="109"/>
        <v>9604.5500224348416</v>
      </c>
      <c r="AM306" s="70">
        <f t="shared" si="109"/>
        <v>2440.5936219256123</v>
      </c>
      <c r="AN306" s="70">
        <f t="shared" si="109"/>
        <v>2718.9759381034519</v>
      </c>
      <c r="AO306" s="70">
        <f t="shared" si="109"/>
        <v>2772.9295700221901</v>
      </c>
      <c r="AP306" s="70">
        <f t="shared" si="109"/>
        <v>2990.3846265558359</v>
      </c>
      <c r="AQ306" s="71">
        <f t="shared" si="109"/>
        <v>10922.883756607092</v>
      </c>
    </row>
    <row r="307" spans="2:43" outlineLevel="1" x14ac:dyDescent="0.25">
      <c r="B307" s="549" t="s">
        <v>192</v>
      </c>
      <c r="C307" s="550"/>
      <c r="D307" s="77">
        <v>648</v>
      </c>
      <c r="E307" s="70">
        <f>1301-D307</f>
        <v>653</v>
      </c>
      <c r="F307" s="70">
        <f>1964-E307-D307</f>
        <v>663</v>
      </c>
      <c r="G307" s="70">
        <f>2631-F307-E307-D307</f>
        <v>667</v>
      </c>
      <c r="H307" s="71">
        <f t="shared" ref="H307:H313" si="110">SUM(D307:G307)</f>
        <v>2631</v>
      </c>
      <c r="I307" s="77">
        <v>739</v>
      </c>
      <c r="J307" s="70">
        <f>1479-I307</f>
        <v>740</v>
      </c>
      <c r="K307" s="70">
        <f>2241-J307-I307</f>
        <v>762</v>
      </c>
      <c r="L307" s="70">
        <f>2995-K307-J307-I307</f>
        <v>754</v>
      </c>
      <c r="M307" s="71">
        <f t="shared" ref="M307:M313" si="111">SUM(I307:L307)</f>
        <v>2995</v>
      </c>
      <c r="N307" s="77">
        <v>751</v>
      </c>
      <c r="O307" s="70">
        <f>1507-N307</f>
        <v>756</v>
      </c>
      <c r="P307" s="70">
        <f>2293-O307-N307</f>
        <v>786</v>
      </c>
      <c r="Q307" s="77">
        <f>3095-P307-O307-N307</f>
        <v>802</v>
      </c>
      <c r="R307" s="71">
        <f t="shared" ref="R307:R313" si="112">SUM(N307:Q307)</f>
        <v>3095</v>
      </c>
      <c r="S307" s="77"/>
      <c r="T307" s="77"/>
      <c r="U307" s="77"/>
      <c r="V307" s="77"/>
      <c r="W307" s="71">
        <f t="shared" ref="W307:W313" si="113">SUM(S307:V307)</f>
        <v>0</v>
      </c>
      <c r="X307" s="77"/>
      <c r="Y307" s="77"/>
      <c r="Z307" s="77"/>
      <c r="AA307" s="77"/>
      <c r="AB307" s="71">
        <f t="shared" ref="AB307:AB313" si="114">SUM(X307:AA307)</f>
        <v>0</v>
      </c>
      <c r="AC307" s="77"/>
      <c r="AD307" s="77"/>
      <c r="AE307" s="77"/>
      <c r="AF307" s="77"/>
      <c r="AG307" s="71">
        <f t="shared" ref="AG307:AG313" si="115">SUM(AC307:AF307)</f>
        <v>0</v>
      </c>
      <c r="AH307" s="77"/>
      <c r="AI307" s="77"/>
      <c r="AJ307" s="77"/>
      <c r="AK307" s="77"/>
      <c r="AL307" s="71">
        <f t="shared" ref="AL307:AL313" si="116">SUM(AH307:AK307)</f>
        <v>0</v>
      </c>
      <c r="AM307" s="77"/>
      <c r="AN307" s="77"/>
      <c r="AO307" s="77"/>
      <c r="AP307" s="77"/>
      <c r="AQ307" s="71">
        <f t="shared" ref="AQ307:AQ313" si="117">SUM(AM307:AP307)</f>
        <v>0</v>
      </c>
    </row>
    <row r="308" spans="2:43" outlineLevel="1" x14ac:dyDescent="0.25">
      <c r="B308" s="292" t="s">
        <v>193</v>
      </c>
      <c r="C308" s="293"/>
      <c r="D308" s="77">
        <v>28</v>
      </c>
      <c r="E308" s="70">
        <f>57-D308</f>
        <v>29</v>
      </c>
      <c r="F308" s="70">
        <f>90-E308-D308</f>
        <v>33</v>
      </c>
      <c r="G308" s="70">
        <f>121-F308-E308-D308</f>
        <v>31</v>
      </c>
      <c r="H308" s="71">
        <f t="shared" si="110"/>
        <v>121</v>
      </c>
      <c r="I308" s="77">
        <v>39</v>
      </c>
      <c r="J308" s="70">
        <f>76-I308</f>
        <v>37</v>
      </c>
      <c r="K308" s="70">
        <f>115-J308-I308</f>
        <v>39</v>
      </c>
      <c r="L308" s="70">
        <f>136-K308-J308-I308</f>
        <v>21</v>
      </c>
      <c r="M308" s="71">
        <f t="shared" si="111"/>
        <v>136</v>
      </c>
      <c r="N308" s="77">
        <v>60</v>
      </c>
      <c r="O308" s="70">
        <f>116-N308</f>
        <v>56</v>
      </c>
      <c r="P308" s="70">
        <f>177-O308-N308</f>
        <v>61</v>
      </c>
      <c r="Q308" s="77">
        <f>246-P308-O308-N308</f>
        <v>69</v>
      </c>
      <c r="R308" s="71">
        <f t="shared" si="112"/>
        <v>246</v>
      </c>
      <c r="S308" s="77"/>
      <c r="T308" s="77"/>
      <c r="U308" s="77"/>
      <c r="V308" s="77"/>
      <c r="W308" s="71">
        <f t="shared" si="113"/>
        <v>0</v>
      </c>
      <c r="X308" s="77"/>
      <c r="Y308" s="77"/>
      <c r="Z308" s="77"/>
      <c r="AA308" s="77"/>
      <c r="AB308" s="71">
        <f t="shared" si="114"/>
        <v>0</v>
      </c>
      <c r="AC308" s="77"/>
      <c r="AD308" s="77"/>
      <c r="AE308" s="77"/>
      <c r="AF308" s="77"/>
      <c r="AG308" s="71">
        <f t="shared" si="115"/>
        <v>0</v>
      </c>
      <c r="AH308" s="77"/>
      <c r="AI308" s="77"/>
      <c r="AJ308" s="77"/>
      <c r="AK308" s="77"/>
      <c r="AL308" s="71">
        <f t="shared" si="116"/>
        <v>0</v>
      </c>
      <c r="AM308" s="77"/>
      <c r="AN308" s="77"/>
      <c r="AO308" s="77"/>
      <c r="AP308" s="77"/>
      <c r="AQ308" s="71">
        <f t="shared" si="117"/>
        <v>0</v>
      </c>
    </row>
    <row r="309" spans="2:43" outlineLevel="1" x14ac:dyDescent="0.25">
      <c r="B309" s="549" t="s">
        <v>194</v>
      </c>
      <c r="C309" s="550"/>
      <c r="D309" s="70">
        <v>53</v>
      </c>
      <c r="E309" s="70">
        <f>86-D309</f>
        <v>33</v>
      </c>
      <c r="F309" s="70">
        <f>115-E309-D309</f>
        <v>29</v>
      </c>
      <c r="G309" s="70">
        <f>144-F309-E309-D309</f>
        <v>29</v>
      </c>
      <c r="H309" s="71">
        <f t="shared" si="110"/>
        <v>144</v>
      </c>
      <c r="I309" s="70">
        <v>57</v>
      </c>
      <c r="J309" s="70">
        <f>93-I309</f>
        <v>36</v>
      </c>
      <c r="K309" s="70">
        <f>123-J309-I309</f>
        <v>30</v>
      </c>
      <c r="L309" s="70">
        <f>154-K309-J309-I309</f>
        <v>31</v>
      </c>
      <c r="M309" s="71">
        <f t="shared" si="111"/>
        <v>154</v>
      </c>
      <c r="N309" s="70">
        <v>62</v>
      </c>
      <c r="O309" s="70">
        <f>103-N309</f>
        <v>41</v>
      </c>
      <c r="P309" s="70">
        <f>135-O309-N309</f>
        <v>32</v>
      </c>
      <c r="Q309" s="70">
        <f>167-P309-O309-N309</f>
        <v>32</v>
      </c>
      <c r="R309" s="71">
        <f t="shared" si="112"/>
        <v>167</v>
      </c>
      <c r="S309" s="70"/>
      <c r="T309" s="70"/>
      <c r="U309" s="70"/>
      <c r="V309" s="70"/>
      <c r="W309" s="71">
        <f t="shared" si="113"/>
        <v>0</v>
      </c>
      <c r="X309" s="70"/>
      <c r="Y309" s="70"/>
      <c r="Z309" s="70"/>
      <c r="AA309" s="70"/>
      <c r="AB309" s="71">
        <f t="shared" si="114"/>
        <v>0</v>
      </c>
      <c r="AC309" s="70"/>
      <c r="AD309" s="70"/>
      <c r="AE309" s="70"/>
      <c r="AF309" s="70"/>
      <c r="AG309" s="71">
        <f t="shared" si="115"/>
        <v>0</v>
      </c>
      <c r="AH309" s="70"/>
      <c r="AI309" s="70"/>
      <c r="AJ309" s="70"/>
      <c r="AK309" s="70"/>
      <c r="AL309" s="71">
        <f t="shared" si="116"/>
        <v>0</v>
      </c>
      <c r="AM309" s="70"/>
      <c r="AN309" s="70"/>
      <c r="AO309" s="70"/>
      <c r="AP309" s="70"/>
      <c r="AQ309" s="71">
        <f t="shared" si="117"/>
        <v>0</v>
      </c>
    </row>
    <row r="310" spans="2:43" outlineLevel="1" x14ac:dyDescent="0.25">
      <c r="B310" s="549" t="s">
        <v>195</v>
      </c>
      <c r="C310" s="550"/>
      <c r="D310" s="70">
        <v>20</v>
      </c>
      <c r="E310" s="70">
        <f>-48-D310</f>
        <v>-68</v>
      </c>
      <c r="F310" s="70">
        <f>288-E310-D310</f>
        <v>336</v>
      </c>
      <c r="G310" s="70">
        <f>31-F310-E310-D310</f>
        <v>-257</v>
      </c>
      <c r="H310" s="71">
        <f t="shared" si="110"/>
        <v>31</v>
      </c>
      <c r="I310" s="70">
        <v>173</v>
      </c>
      <c r="J310" s="70">
        <f>320-I310</f>
        <v>147</v>
      </c>
      <c r="K310" s="70">
        <f>474-J310-I310</f>
        <v>154</v>
      </c>
      <c r="L310" s="70">
        <f>909-K310-J310-I310</f>
        <v>435</v>
      </c>
      <c r="M310" s="71">
        <f t="shared" si="111"/>
        <v>909</v>
      </c>
      <c r="N310" s="70">
        <v>97</v>
      </c>
      <c r="O310" s="70">
        <f>327-N310</f>
        <v>230</v>
      </c>
      <c r="P310" s="70">
        <f>-914-O310-N310</f>
        <v>-1241</v>
      </c>
      <c r="Q310" s="70">
        <f>-231-P310-O310-N310</f>
        <v>683</v>
      </c>
      <c r="R310" s="71">
        <f t="shared" si="112"/>
        <v>-231</v>
      </c>
      <c r="S310" s="70"/>
      <c r="T310" s="70"/>
      <c r="U310" s="70"/>
      <c r="V310" s="70"/>
      <c r="W310" s="71">
        <f t="shared" si="113"/>
        <v>0</v>
      </c>
      <c r="X310" s="70"/>
      <c r="Y310" s="70"/>
      <c r="Z310" s="70"/>
      <c r="AA310" s="70"/>
      <c r="AB310" s="71">
        <f t="shared" si="114"/>
        <v>0</v>
      </c>
      <c r="AC310" s="70"/>
      <c r="AD310" s="70"/>
      <c r="AE310" s="70"/>
      <c r="AF310" s="70"/>
      <c r="AG310" s="71">
        <f t="shared" si="115"/>
        <v>0</v>
      </c>
      <c r="AH310" s="70"/>
      <c r="AI310" s="70"/>
      <c r="AJ310" s="70"/>
      <c r="AK310" s="70"/>
      <c r="AL310" s="71">
        <f t="shared" si="116"/>
        <v>0</v>
      </c>
      <c r="AM310" s="70"/>
      <c r="AN310" s="70"/>
      <c r="AO310" s="70"/>
      <c r="AP310" s="70"/>
      <c r="AQ310" s="71">
        <f t="shared" si="117"/>
        <v>0</v>
      </c>
    </row>
    <row r="311" spans="2:43" outlineLevel="1" x14ac:dyDescent="0.25">
      <c r="B311" s="292" t="s">
        <v>128</v>
      </c>
      <c r="C311" s="293"/>
      <c r="D311" s="70">
        <v>0</v>
      </c>
      <c r="E311" s="70">
        <f>0-D311</f>
        <v>0</v>
      </c>
      <c r="F311" s="70">
        <f>0-E311-D311</f>
        <v>0</v>
      </c>
      <c r="G311" s="70">
        <f>0-F311-E311-D311</f>
        <v>0</v>
      </c>
      <c r="H311" s="71">
        <f t="shared" si="110"/>
        <v>0</v>
      </c>
      <c r="I311" s="70"/>
      <c r="J311" s="70">
        <f>0-I311</f>
        <v>0</v>
      </c>
      <c r="K311" s="70">
        <f>0-J311-I311</f>
        <v>0</v>
      </c>
      <c r="L311" s="70">
        <f>0-K311-J311-I311</f>
        <v>0</v>
      </c>
      <c r="M311" s="71">
        <f t="shared" si="111"/>
        <v>0</v>
      </c>
      <c r="N311" s="70">
        <v>0</v>
      </c>
      <c r="O311" s="70">
        <f>0-N311</f>
        <v>0</v>
      </c>
      <c r="P311" s="70">
        <f>0-O311-N311</f>
        <v>0</v>
      </c>
      <c r="Q311" s="70">
        <f>380-P311-O311-N311</f>
        <v>380</v>
      </c>
      <c r="R311" s="71">
        <f t="shared" si="112"/>
        <v>380</v>
      </c>
      <c r="S311" s="70"/>
      <c r="T311" s="70"/>
      <c r="U311" s="70"/>
      <c r="V311" s="70"/>
      <c r="W311" s="71">
        <f t="shared" si="113"/>
        <v>0</v>
      </c>
      <c r="X311" s="70"/>
      <c r="Y311" s="70"/>
      <c r="Z311" s="70"/>
      <c r="AA311" s="70"/>
      <c r="AB311" s="71">
        <f t="shared" si="114"/>
        <v>0</v>
      </c>
      <c r="AC311" s="70"/>
      <c r="AD311" s="70"/>
      <c r="AE311" s="70"/>
      <c r="AF311" s="70"/>
      <c r="AG311" s="71">
        <f t="shared" si="115"/>
        <v>0</v>
      </c>
      <c r="AH311" s="70"/>
      <c r="AI311" s="70"/>
      <c r="AJ311" s="70"/>
      <c r="AK311" s="70"/>
      <c r="AL311" s="71">
        <f t="shared" si="116"/>
        <v>0</v>
      </c>
      <c r="AM311" s="70"/>
      <c r="AN311" s="70"/>
      <c r="AO311" s="70"/>
      <c r="AP311" s="70"/>
      <c r="AQ311" s="71">
        <f t="shared" si="117"/>
        <v>0</v>
      </c>
    </row>
    <row r="312" spans="2:43" outlineLevel="1" x14ac:dyDescent="0.25">
      <c r="B312" s="292" t="s">
        <v>129</v>
      </c>
      <c r="C312" s="293"/>
      <c r="D312" s="70">
        <v>0</v>
      </c>
      <c r="E312" s="70">
        <f>0-D312</f>
        <v>0</v>
      </c>
      <c r="F312" s="70">
        <f>0-E312-D312</f>
        <v>0</v>
      </c>
      <c r="G312" s="70">
        <f>1498-F312-E312-D312</f>
        <v>1498</v>
      </c>
      <c r="H312" s="71">
        <f t="shared" si="110"/>
        <v>1498</v>
      </c>
      <c r="I312" s="70"/>
      <c r="J312" s="70">
        <f>0-I312</f>
        <v>0</v>
      </c>
      <c r="K312" s="70">
        <f>0-J312-I312</f>
        <v>0</v>
      </c>
      <c r="L312" s="70">
        <f>-24-K312-J312-I312</f>
        <v>-24</v>
      </c>
      <c r="M312" s="71">
        <f t="shared" si="111"/>
        <v>-24</v>
      </c>
      <c r="N312" s="70">
        <v>0</v>
      </c>
      <c r="O312" s="70">
        <f>0-N312</f>
        <v>0</v>
      </c>
      <c r="P312" s="70">
        <f>0-O312-N312</f>
        <v>0</v>
      </c>
      <c r="Q312" s="70">
        <f>-10-P312-O312-N312</f>
        <v>-10</v>
      </c>
      <c r="R312" s="71">
        <f t="shared" si="112"/>
        <v>-10</v>
      </c>
      <c r="S312" s="70"/>
      <c r="T312" s="70"/>
      <c r="U312" s="70"/>
      <c r="V312" s="70"/>
      <c r="W312" s="71">
        <f t="shared" si="113"/>
        <v>0</v>
      </c>
      <c r="X312" s="70"/>
      <c r="Y312" s="70"/>
      <c r="Z312" s="70"/>
      <c r="AA312" s="77"/>
      <c r="AB312" s="71">
        <f t="shared" si="114"/>
        <v>0</v>
      </c>
      <c r="AC312" s="70"/>
      <c r="AD312" s="70"/>
      <c r="AE312" s="70"/>
      <c r="AF312" s="70"/>
      <c r="AG312" s="71">
        <f t="shared" si="115"/>
        <v>0</v>
      </c>
      <c r="AH312" s="70"/>
      <c r="AI312" s="70"/>
      <c r="AJ312" s="70"/>
      <c r="AK312" s="70"/>
      <c r="AL312" s="71">
        <f t="shared" si="116"/>
        <v>0</v>
      </c>
      <c r="AM312" s="70"/>
      <c r="AN312" s="70"/>
      <c r="AO312" s="70"/>
      <c r="AP312" s="70"/>
      <c r="AQ312" s="71">
        <f t="shared" si="117"/>
        <v>0</v>
      </c>
    </row>
    <row r="313" spans="2:43" outlineLevel="1" x14ac:dyDescent="0.25">
      <c r="B313" s="549" t="s">
        <v>196</v>
      </c>
      <c r="C313" s="550"/>
      <c r="D313" s="70">
        <v>0</v>
      </c>
      <c r="E313" s="70">
        <f>0-D313</f>
        <v>0</v>
      </c>
      <c r="F313" s="70">
        <f>0-E313-D313</f>
        <v>0</v>
      </c>
      <c r="G313" s="70">
        <f>0-F313-E313-D313</f>
        <v>0</v>
      </c>
      <c r="H313" s="71">
        <f t="shared" si="110"/>
        <v>0</v>
      </c>
      <c r="I313" s="70"/>
      <c r="J313" s="70">
        <f>-35-I313</f>
        <v>-35</v>
      </c>
      <c r="K313" s="70">
        <f>-35-J313-I313</f>
        <v>0</v>
      </c>
      <c r="L313" s="70">
        <f>-35-K313-J313-I313</f>
        <v>0</v>
      </c>
      <c r="M313" s="71">
        <f t="shared" si="111"/>
        <v>-35</v>
      </c>
      <c r="N313" s="70">
        <v>0</v>
      </c>
      <c r="O313" s="70">
        <f>0-N313</f>
        <v>0</v>
      </c>
      <c r="P313" s="70">
        <f>0-O313-N313</f>
        <v>0</v>
      </c>
      <c r="Q313" s="70">
        <f>-85-P313-O313-N313</f>
        <v>-85</v>
      </c>
      <c r="R313" s="71">
        <f t="shared" si="112"/>
        <v>-85</v>
      </c>
      <c r="S313" s="221"/>
      <c r="T313" s="221"/>
      <c r="U313" s="221"/>
      <c r="V313" s="221"/>
      <c r="W313" s="71">
        <f t="shared" si="113"/>
        <v>0</v>
      </c>
      <c r="X313" s="221"/>
      <c r="Y313" s="221"/>
      <c r="Z313" s="221"/>
      <c r="AA313" s="221"/>
      <c r="AB313" s="71">
        <f t="shared" si="114"/>
        <v>0</v>
      </c>
      <c r="AC313" s="221"/>
      <c r="AD313" s="221"/>
      <c r="AE313" s="221"/>
      <c r="AF313" s="221"/>
      <c r="AG313" s="71">
        <f t="shared" si="115"/>
        <v>0</v>
      </c>
      <c r="AH313" s="221"/>
      <c r="AI313" s="221"/>
      <c r="AJ313" s="221"/>
      <c r="AK313" s="221"/>
      <c r="AL313" s="71">
        <f t="shared" si="116"/>
        <v>0</v>
      </c>
      <c r="AM313" s="221"/>
      <c r="AN313" s="221"/>
      <c r="AO313" s="221"/>
      <c r="AP313" s="221"/>
      <c r="AQ313" s="71">
        <f t="shared" si="117"/>
        <v>0</v>
      </c>
    </row>
    <row r="314" spans="2:43" outlineLevel="1" x14ac:dyDescent="0.25">
      <c r="B314" s="555" t="s">
        <v>197</v>
      </c>
      <c r="C314" s="556"/>
      <c r="D314" s="374"/>
      <c r="E314" s="374"/>
      <c r="F314" s="374"/>
      <c r="G314" s="374"/>
      <c r="H314" s="375"/>
      <c r="I314" s="374"/>
      <c r="J314" s="374"/>
      <c r="K314" s="374"/>
      <c r="L314" s="374"/>
      <c r="M314" s="375"/>
      <c r="N314" s="374"/>
      <c r="O314" s="374"/>
      <c r="P314" s="374"/>
      <c r="Q314" s="374"/>
      <c r="R314" s="375"/>
      <c r="S314" s="376"/>
      <c r="T314" s="376"/>
      <c r="U314" s="376"/>
      <c r="V314" s="376"/>
      <c r="W314" s="375"/>
      <c r="X314" s="376"/>
      <c r="Y314" s="376"/>
      <c r="Z314" s="376"/>
      <c r="AA314" s="376"/>
      <c r="AB314" s="375"/>
      <c r="AC314" s="376"/>
      <c r="AD314" s="376"/>
      <c r="AE314" s="376"/>
      <c r="AF314" s="376"/>
      <c r="AG314" s="375"/>
      <c r="AH314" s="376"/>
      <c r="AI314" s="376"/>
      <c r="AJ314" s="376"/>
      <c r="AK314" s="376"/>
      <c r="AL314" s="375"/>
      <c r="AM314" s="376"/>
      <c r="AN314" s="376"/>
      <c r="AO314" s="376"/>
      <c r="AP314" s="376"/>
      <c r="AQ314" s="375"/>
    </row>
    <row r="315" spans="2:43" outlineLevel="1" x14ac:dyDescent="0.25">
      <c r="B315" s="553" t="s">
        <v>198</v>
      </c>
      <c r="C315" s="554"/>
      <c r="D315" s="377">
        <v>50</v>
      </c>
      <c r="E315" s="377">
        <f>-263-D315</f>
        <v>-313</v>
      </c>
      <c r="F315" s="377">
        <f>-78-E315-D315</f>
        <v>185</v>
      </c>
      <c r="G315" s="377">
        <f>-199-F315-E315-D315</f>
        <v>-121</v>
      </c>
      <c r="H315" s="378">
        <f>SUM(D315:G315)</f>
        <v>-199</v>
      </c>
      <c r="I315" s="377">
        <v>20</v>
      </c>
      <c r="J315" s="377">
        <f>-513-I315</f>
        <v>-533</v>
      </c>
      <c r="K315" s="377">
        <f>-340-J315-I315</f>
        <v>173</v>
      </c>
      <c r="L315" s="377">
        <f>-556-K315-J315-I315</f>
        <v>-216</v>
      </c>
      <c r="M315" s="378">
        <f>SUM(I315:L315)</f>
        <v>-556</v>
      </c>
      <c r="N315" s="377">
        <v>-271</v>
      </c>
      <c r="O315" s="377">
        <f>-983-N315</f>
        <v>-712</v>
      </c>
      <c r="P315" s="377">
        <f>-986-O315-N315</f>
        <v>-3</v>
      </c>
      <c r="Q315" s="377">
        <f>-1049-P315-O315-N315</f>
        <v>-63</v>
      </c>
      <c r="R315" s="378">
        <f>SUM(N315:Q315)</f>
        <v>-1049</v>
      </c>
      <c r="S315" s="377"/>
      <c r="T315" s="377"/>
      <c r="U315" s="377"/>
      <c r="V315" s="377"/>
      <c r="W315" s="378">
        <f>SUM(S315:V315)</f>
        <v>0</v>
      </c>
      <c r="X315" s="377"/>
      <c r="Y315" s="377"/>
      <c r="Z315" s="377"/>
      <c r="AA315" s="377"/>
      <c r="AB315" s="378">
        <f>SUM(X315:AA315)</f>
        <v>0</v>
      </c>
      <c r="AC315" s="377"/>
      <c r="AD315" s="377"/>
      <c r="AE315" s="377"/>
      <c r="AF315" s="377"/>
      <c r="AG315" s="378">
        <f>SUM(AC315:AF315)</f>
        <v>0</v>
      </c>
      <c r="AH315" s="377"/>
      <c r="AI315" s="377"/>
      <c r="AJ315" s="377"/>
      <c r="AK315" s="377"/>
      <c r="AL315" s="378">
        <f>SUM(AH315:AK315)</f>
        <v>0</v>
      </c>
      <c r="AM315" s="377"/>
      <c r="AN315" s="377"/>
      <c r="AO315" s="377"/>
      <c r="AP315" s="377"/>
      <c r="AQ315" s="378">
        <f>SUM(AM315:AP315)</f>
        <v>0</v>
      </c>
    </row>
    <row r="316" spans="2:43" outlineLevel="1" x14ac:dyDescent="0.25">
      <c r="B316" s="553" t="s">
        <v>9</v>
      </c>
      <c r="C316" s="554"/>
      <c r="D316" s="377">
        <v>-89</v>
      </c>
      <c r="E316" s="377">
        <f>-113-D316</f>
        <v>-24</v>
      </c>
      <c r="F316" s="377">
        <f>-322-E316-D316</f>
        <v>-209</v>
      </c>
      <c r="G316" s="377">
        <f>-234-F316-E316-D316</f>
        <v>88</v>
      </c>
      <c r="H316" s="378">
        <f>SUM(D316:G316)</f>
        <v>-234</v>
      </c>
      <c r="I316" s="377">
        <v>-4</v>
      </c>
      <c r="J316" s="377">
        <f>-250-I316</f>
        <v>-246</v>
      </c>
      <c r="K316" s="377">
        <f>-235-J316-I316</f>
        <v>15</v>
      </c>
      <c r="L316" s="377">
        <f>78-K316-J316-I316</f>
        <v>313</v>
      </c>
      <c r="M316" s="378">
        <f>SUM(I316:L316)</f>
        <v>78</v>
      </c>
      <c r="N316" s="377">
        <v>-142</v>
      </c>
      <c r="O316" s="377">
        <f>-338-N316</f>
        <v>-196</v>
      </c>
      <c r="P316" s="377">
        <f>-151-O316-N316</f>
        <v>187</v>
      </c>
      <c r="Q316" s="377">
        <f>-135-P316-O316-N316</f>
        <v>16</v>
      </c>
      <c r="R316" s="378">
        <f>SUM(N316:Q316)</f>
        <v>-135</v>
      </c>
      <c r="S316" s="377"/>
      <c r="T316" s="377"/>
      <c r="U316" s="377"/>
      <c r="V316" s="377"/>
      <c r="W316" s="378">
        <f>SUM(S316:V316)</f>
        <v>0</v>
      </c>
      <c r="X316" s="377"/>
      <c r="Y316" s="377"/>
      <c r="Z316" s="377"/>
      <c r="AA316" s="377"/>
      <c r="AB316" s="378">
        <f>SUM(X316:AA316)</f>
        <v>0</v>
      </c>
      <c r="AC316" s="377"/>
      <c r="AD316" s="377"/>
      <c r="AE316" s="377"/>
      <c r="AF316" s="377"/>
      <c r="AG316" s="378">
        <f>SUM(AC316:AF316)</f>
        <v>0</v>
      </c>
      <c r="AH316" s="377"/>
      <c r="AI316" s="377"/>
      <c r="AJ316" s="377"/>
      <c r="AK316" s="377"/>
      <c r="AL316" s="378">
        <f>SUM(AH316:AK316)</f>
        <v>0</v>
      </c>
      <c r="AM316" s="377"/>
      <c r="AN316" s="377"/>
      <c r="AO316" s="377"/>
      <c r="AP316" s="377"/>
      <c r="AQ316" s="378">
        <f>SUM(AM316:AP316)</f>
        <v>0</v>
      </c>
    </row>
    <row r="317" spans="2:43" outlineLevel="1" x14ac:dyDescent="0.25">
      <c r="B317" s="155" t="s">
        <v>199</v>
      </c>
      <c r="C317" s="105"/>
      <c r="D317" s="377">
        <v>0</v>
      </c>
      <c r="E317" s="377">
        <f>0-D317</f>
        <v>0</v>
      </c>
      <c r="F317" s="377">
        <f>0-E317-D317</f>
        <v>0</v>
      </c>
      <c r="G317" s="377">
        <f>-346-F317-E317-D317</f>
        <v>-346</v>
      </c>
      <c r="H317" s="378">
        <f>SUM(D317:G317)</f>
        <v>-346</v>
      </c>
      <c r="I317" s="377">
        <v>0</v>
      </c>
      <c r="J317" s="377">
        <f>0-I317</f>
        <v>0</v>
      </c>
      <c r="K317" s="377">
        <f>0-J317-I317</f>
        <v>0</v>
      </c>
      <c r="L317" s="377">
        <f>-1688-K317-J317-I317</f>
        <v>-1688</v>
      </c>
      <c r="M317" s="378">
        <f>SUM(I317:L317)</f>
        <v>-1688</v>
      </c>
      <c r="N317" s="377">
        <v>0</v>
      </c>
      <c r="O317" s="377">
        <f>0-N317</f>
        <v>0</v>
      </c>
      <c r="P317" s="377">
        <f>0-O317-N317</f>
        <v>0</v>
      </c>
      <c r="Q317" s="377">
        <f>-2345-P317-O317-N317</f>
        <v>-2345</v>
      </c>
      <c r="R317" s="378">
        <f>SUM(N317:Q317)</f>
        <v>-2345</v>
      </c>
      <c r="S317" s="377"/>
      <c r="T317" s="377"/>
      <c r="U317" s="377"/>
      <c r="V317" s="377"/>
      <c r="W317" s="378">
        <f>SUM(S317:V317)</f>
        <v>0</v>
      </c>
      <c r="X317" s="377"/>
      <c r="Y317" s="377"/>
      <c r="Z317" s="377"/>
      <c r="AA317" s="377"/>
      <c r="AB317" s="378">
        <f>SUM(X317:AA317)</f>
        <v>0</v>
      </c>
      <c r="AC317" s="377"/>
      <c r="AD317" s="377"/>
      <c r="AE317" s="377"/>
      <c r="AF317" s="377"/>
      <c r="AG317" s="378">
        <f>SUM(AC317:AF317)</f>
        <v>0</v>
      </c>
      <c r="AH317" s="377"/>
      <c r="AI317" s="377"/>
      <c r="AJ317" s="377"/>
      <c r="AK317" s="377"/>
      <c r="AL317" s="378">
        <f>SUM(AH317:AK317)</f>
        <v>0</v>
      </c>
      <c r="AM317" s="377"/>
      <c r="AN317" s="377"/>
      <c r="AO317" s="377"/>
      <c r="AP317" s="377"/>
      <c r="AQ317" s="378">
        <f>SUM(AM317:AP317)</f>
        <v>0</v>
      </c>
    </row>
    <row r="318" spans="2:43" outlineLevel="1" x14ac:dyDescent="0.25">
      <c r="B318" s="553" t="s">
        <v>200</v>
      </c>
      <c r="C318" s="554"/>
      <c r="D318" s="377">
        <v>-151</v>
      </c>
      <c r="E318" s="377">
        <f>66-D318</f>
        <v>217</v>
      </c>
      <c r="F318" s="377">
        <f>-146-E318-D318</f>
        <v>-212</v>
      </c>
      <c r="G318" s="377">
        <f>467-F318-E318-D318</f>
        <v>613</v>
      </c>
      <c r="H318" s="378">
        <f>SUM(D318:G318)</f>
        <v>467</v>
      </c>
      <c r="I318" s="377">
        <v>-753</v>
      </c>
      <c r="J318" s="377">
        <f>67-I318</f>
        <v>820</v>
      </c>
      <c r="K318" s="377">
        <f>-1642-J318-I318</f>
        <v>-1709</v>
      </c>
      <c r="L318" s="377">
        <f>103-K318-J318-I318</f>
        <v>1745</v>
      </c>
      <c r="M318" s="378">
        <f>SUM(I318:L318)</f>
        <v>103</v>
      </c>
      <c r="N318" s="377">
        <v>-540</v>
      </c>
      <c r="O318" s="377">
        <f>-564-N318</f>
        <v>-24</v>
      </c>
      <c r="P318" s="377">
        <f>-2781-O318-N318</f>
        <v>-2217</v>
      </c>
      <c r="Q318" s="377">
        <f>141-P318-O318-N318</f>
        <v>2922</v>
      </c>
      <c r="R318" s="378">
        <f>SUM(N318:Q318)</f>
        <v>141</v>
      </c>
      <c r="S318" s="377"/>
      <c r="T318" s="377"/>
      <c r="U318" s="377"/>
      <c r="V318" s="377"/>
      <c r="W318" s="378">
        <f>SUM(S318:V318)</f>
        <v>0</v>
      </c>
      <c r="X318" s="377"/>
      <c r="Y318" s="377"/>
      <c r="Z318" s="377"/>
      <c r="AA318" s="377"/>
      <c r="AB318" s="378">
        <f>SUM(X318:AA318)</f>
        <v>0</v>
      </c>
      <c r="AC318" s="377"/>
      <c r="AD318" s="377"/>
      <c r="AE318" s="377"/>
      <c r="AF318" s="377"/>
      <c r="AG318" s="378">
        <f>SUM(AC318:AF318)</f>
        <v>0</v>
      </c>
      <c r="AH318" s="377"/>
      <c r="AI318" s="377"/>
      <c r="AJ318" s="377"/>
      <c r="AK318" s="377"/>
      <c r="AL318" s="378">
        <f>SUM(AH318:AK318)</f>
        <v>0</v>
      </c>
      <c r="AM318" s="377"/>
      <c r="AN318" s="377"/>
      <c r="AO318" s="377"/>
      <c r="AP318" s="377"/>
      <c r="AQ318" s="378">
        <f>SUM(AM318:AP318)</f>
        <v>0</v>
      </c>
    </row>
    <row r="319" spans="2:43" ht="17.25" outlineLevel="1" x14ac:dyDescent="0.4">
      <c r="B319" s="553" t="s">
        <v>201</v>
      </c>
      <c r="C319" s="554"/>
      <c r="D319" s="379">
        <v>-10</v>
      </c>
      <c r="E319" s="379">
        <f>-15-D319</f>
        <v>-5</v>
      </c>
      <c r="F319" s="379">
        <f>-5-E319-D319</f>
        <v>10</v>
      </c>
      <c r="G319" s="379">
        <f>-225-F319-E319-D319</f>
        <v>-220</v>
      </c>
      <c r="H319" s="380">
        <f>SUM(D319:G319)</f>
        <v>-225</v>
      </c>
      <c r="I319" s="379">
        <v>-15</v>
      </c>
      <c r="J319" s="379">
        <f>-17-I319</f>
        <v>-2</v>
      </c>
      <c r="K319" s="379">
        <f>-33-J319-I319</f>
        <v>-16</v>
      </c>
      <c r="L319" s="379">
        <f>-139-K319-J319-I319</f>
        <v>-106</v>
      </c>
      <c r="M319" s="380">
        <f>SUM(I319:L319)</f>
        <v>-139</v>
      </c>
      <c r="N319" s="379">
        <v>-23</v>
      </c>
      <c r="O319" s="379">
        <f>-41-N319</f>
        <v>-18</v>
      </c>
      <c r="P319" s="379">
        <f>-56-O319-N319</f>
        <v>-15</v>
      </c>
      <c r="Q319" s="379">
        <f>-72-P319-O319-N319</f>
        <v>-16</v>
      </c>
      <c r="R319" s="380">
        <f>SUM(N319:Q319)</f>
        <v>-72</v>
      </c>
      <c r="S319" s="379"/>
      <c r="T319" s="379"/>
      <c r="U319" s="379"/>
      <c r="V319" s="379"/>
      <c r="W319" s="380">
        <f>SUM(S319:V319)</f>
        <v>0</v>
      </c>
      <c r="X319" s="379"/>
      <c r="Y319" s="379"/>
      <c r="Z319" s="379"/>
      <c r="AA319" s="379"/>
      <c r="AB319" s="380">
        <f>SUM(X319:AA319)</f>
        <v>0</v>
      </c>
      <c r="AC319" s="379"/>
      <c r="AD319" s="379"/>
      <c r="AE319" s="379"/>
      <c r="AF319" s="379"/>
      <c r="AG319" s="380">
        <f>SUM(AC319:AF319)</f>
        <v>0</v>
      </c>
      <c r="AH319" s="379"/>
      <c r="AI319" s="379"/>
      <c r="AJ319" s="379"/>
      <c r="AK319" s="379"/>
      <c r="AL319" s="380">
        <f>SUM(AH319:AK319)</f>
        <v>0</v>
      </c>
      <c r="AM319" s="379"/>
      <c r="AN319" s="379"/>
      <c r="AO319" s="379"/>
      <c r="AP319" s="379"/>
      <c r="AQ319" s="380">
        <f>SUM(AM319:AP319)</f>
        <v>0</v>
      </c>
    </row>
    <row r="320" spans="2:43" outlineLevel="1" x14ac:dyDescent="0.25">
      <c r="B320" s="551" t="s">
        <v>15</v>
      </c>
      <c r="C320" s="552"/>
      <c r="D320" s="364">
        <f t="shared" ref="D320:AQ320" si="118">D306+SUM(D307:D319)</f>
        <v>1241</v>
      </c>
      <c r="E320" s="364">
        <f t="shared" si="118"/>
        <v>1213</v>
      </c>
      <c r="F320" s="364">
        <f t="shared" si="118"/>
        <v>1342</v>
      </c>
      <c r="G320" s="364">
        <f t="shared" si="118"/>
        <v>1912</v>
      </c>
      <c r="H320" s="365">
        <f t="shared" si="118"/>
        <v>5708</v>
      </c>
      <c r="I320" s="364">
        <f t="shared" si="118"/>
        <v>971</v>
      </c>
      <c r="J320" s="364">
        <f t="shared" si="118"/>
        <v>1664</v>
      </c>
      <c r="K320" s="364">
        <f t="shared" si="118"/>
        <v>10</v>
      </c>
      <c r="L320" s="364">
        <f t="shared" si="118"/>
        <v>2285</v>
      </c>
      <c r="M320" s="365">
        <f t="shared" si="118"/>
        <v>4930</v>
      </c>
      <c r="N320" s="364">
        <f t="shared" si="118"/>
        <v>590</v>
      </c>
      <c r="O320" s="364">
        <f t="shared" si="118"/>
        <v>908</v>
      </c>
      <c r="P320" s="364">
        <f t="shared" si="118"/>
        <v>-336</v>
      </c>
      <c r="Q320" s="364">
        <f t="shared" si="118"/>
        <v>3512.1257859999969</v>
      </c>
      <c r="R320" s="365">
        <f t="shared" si="118"/>
        <v>4674.1257859999969</v>
      </c>
      <c r="S320" s="364">
        <f t="shared" si="118"/>
        <v>1409.2212173334387</v>
      </c>
      <c r="T320" s="364">
        <f t="shared" si="118"/>
        <v>1574.0847828218753</v>
      </c>
      <c r="U320" s="364">
        <f t="shared" si="118"/>
        <v>1603.6550897521377</v>
      </c>
      <c r="V320" s="364">
        <f t="shared" si="118"/>
        <v>1935.9951595291977</v>
      </c>
      <c r="W320" s="365">
        <f t="shared" si="118"/>
        <v>6522.956249436651</v>
      </c>
      <c r="X320" s="364">
        <f t="shared" si="118"/>
        <v>1620.2710104382497</v>
      </c>
      <c r="Y320" s="364">
        <f t="shared" si="118"/>
        <v>1822.7144598546511</v>
      </c>
      <c r="Z320" s="364">
        <f t="shared" si="118"/>
        <v>1866.8669961975545</v>
      </c>
      <c r="AA320" s="364">
        <f t="shared" si="118"/>
        <v>2075.4416411253901</v>
      </c>
      <c r="AB320" s="365">
        <f t="shared" si="118"/>
        <v>7385.2941076158686</v>
      </c>
      <c r="AC320" s="364">
        <f t="shared" si="118"/>
        <v>1866.3575804590605</v>
      </c>
      <c r="AD320" s="364">
        <f t="shared" si="118"/>
        <v>2092.5252859897346</v>
      </c>
      <c r="AE320" s="364">
        <f t="shared" si="118"/>
        <v>2138.6600833647312</v>
      </c>
      <c r="AF320" s="364">
        <f t="shared" si="118"/>
        <v>2321.9004079725428</v>
      </c>
      <c r="AG320" s="365">
        <f t="shared" si="118"/>
        <v>8419.4433577860691</v>
      </c>
      <c r="AH320" s="364">
        <f t="shared" si="118"/>
        <v>2138.3590108758763</v>
      </c>
      <c r="AI320" s="364">
        <f t="shared" si="118"/>
        <v>2389.0521709913014</v>
      </c>
      <c r="AJ320" s="364">
        <f t="shared" si="118"/>
        <v>2438.8590273591949</v>
      </c>
      <c r="AK320" s="364">
        <f t="shared" si="118"/>
        <v>2638.2798132084727</v>
      </c>
      <c r="AL320" s="365">
        <f t="shared" si="118"/>
        <v>9604.5500224348416</v>
      </c>
      <c r="AM320" s="364">
        <f t="shared" si="118"/>
        <v>2440.5936219256123</v>
      </c>
      <c r="AN320" s="364">
        <f t="shared" si="118"/>
        <v>2718.9759381034519</v>
      </c>
      <c r="AO320" s="364">
        <f t="shared" si="118"/>
        <v>2772.9295700221901</v>
      </c>
      <c r="AP320" s="364">
        <f t="shared" si="118"/>
        <v>2990.3846265558359</v>
      </c>
      <c r="AQ320" s="365">
        <f t="shared" si="118"/>
        <v>10922.883756607092</v>
      </c>
    </row>
    <row r="321" spans="2:43" outlineLevel="1" x14ac:dyDescent="0.25">
      <c r="B321" s="608" t="s">
        <v>16</v>
      </c>
      <c r="C321" s="609"/>
      <c r="D321" s="372"/>
      <c r="E321" s="372"/>
      <c r="F321" s="372"/>
      <c r="G321" s="372"/>
      <c r="H321" s="400"/>
      <c r="I321" s="372"/>
      <c r="J321" s="372"/>
      <c r="K321" s="372"/>
      <c r="L321" s="372"/>
      <c r="M321" s="400"/>
      <c r="N321" s="372"/>
      <c r="O321" s="372"/>
      <c r="P321" s="372"/>
      <c r="Q321" s="372"/>
      <c r="R321" s="400"/>
      <c r="S321" s="401"/>
      <c r="T321" s="401"/>
      <c r="U321" s="401"/>
      <c r="V321" s="401"/>
      <c r="W321" s="400"/>
      <c r="X321" s="401"/>
      <c r="Y321" s="401"/>
      <c r="Z321" s="401"/>
      <c r="AA321" s="401"/>
      <c r="AB321" s="400"/>
      <c r="AC321" s="401"/>
      <c r="AD321" s="401"/>
      <c r="AE321" s="401"/>
      <c r="AF321" s="401"/>
      <c r="AG321" s="400"/>
      <c r="AH321" s="401"/>
      <c r="AI321" s="401"/>
      <c r="AJ321" s="401"/>
      <c r="AK321" s="401"/>
      <c r="AL321" s="400"/>
      <c r="AM321" s="401"/>
      <c r="AN321" s="401"/>
      <c r="AO321" s="401"/>
      <c r="AP321" s="401"/>
      <c r="AQ321" s="400"/>
    </row>
    <row r="322" spans="2:43" outlineLevel="1" x14ac:dyDescent="0.25">
      <c r="B322" s="538" t="s">
        <v>202</v>
      </c>
      <c r="C322" s="539"/>
      <c r="D322" s="77">
        <v>-1209</v>
      </c>
      <c r="E322" s="77">
        <f>-2562-D322</f>
        <v>-1353</v>
      </c>
      <c r="F322" s="70">
        <f>-3562-E322-D322</f>
        <v>-1000</v>
      </c>
      <c r="G322" s="77">
        <f>-4818-F322-E322-D322</f>
        <v>-1256</v>
      </c>
      <c r="H322" s="89">
        <f>SUM(D322:G322)</f>
        <v>-4818</v>
      </c>
      <c r="I322" s="77">
        <v>-1215</v>
      </c>
      <c r="J322" s="77">
        <f>-2681-I322</f>
        <v>-1466</v>
      </c>
      <c r="K322" s="70">
        <f>-3790-J322-I322</f>
        <v>-1109</v>
      </c>
      <c r="L322" s="77">
        <f>-5116-K322-J322-I322</f>
        <v>-1326</v>
      </c>
      <c r="M322" s="89">
        <f>SUM(I322:L322)</f>
        <v>-5116</v>
      </c>
      <c r="N322" s="77">
        <v>-1044</v>
      </c>
      <c r="O322" s="77">
        <f>-2621-N322</f>
        <v>-1577</v>
      </c>
      <c r="P322" s="70">
        <f>-3994-O322-N322</f>
        <v>-1373</v>
      </c>
      <c r="Q322" s="77">
        <f>-5663-P322-O322-N322</f>
        <v>-1669</v>
      </c>
      <c r="R322" s="89">
        <f>SUM(N322:Q322)</f>
        <v>-5663</v>
      </c>
      <c r="S322" s="77"/>
      <c r="T322" s="77"/>
      <c r="U322" s="77"/>
      <c r="V322" s="77"/>
      <c r="W322" s="89">
        <f>SUM(S322:V322)</f>
        <v>0</v>
      </c>
      <c r="X322" s="77"/>
      <c r="Y322" s="77"/>
      <c r="Z322" s="77"/>
      <c r="AA322" s="77"/>
      <c r="AB322" s="89">
        <f>SUM(X322:AA322)</f>
        <v>0</v>
      </c>
      <c r="AC322" s="77"/>
      <c r="AD322" s="77"/>
      <c r="AE322" s="77"/>
      <c r="AF322" s="77"/>
      <c r="AG322" s="89">
        <f>SUM(AC322:AF322)</f>
        <v>0</v>
      </c>
      <c r="AH322" s="77"/>
      <c r="AI322" s="77"/>
      <c r="AJ322" s="77"/>
      <c r="AK322" s="77"/>
      <c r="AL322" s="89">
        <f>SUM(AH322:AK322)</f>
        <v>0</v>
      </c>
      <c r="AM322" s="77"/>
      <c r="AN322" s="77"/>
      <c r="AO322" s="77"/>
      <c r="AP322" s="77"/>
      <c r="AQ322" s="89">
        <f>SUM(AM322:AP322)</f>
        <v>0</v>
      </c>
    </row>
    <row r="323" spans="2:43" outlineLevel="1" x14ac:dyDescent="0.25">
      <c r="B323" s="538" t="s">
        <v>203</v>
      </c>
      <c r="C323" s="539"/>
      <c r="D323" s="77">
        <v>0</v>
      </c>
      <c r="E323" s="77">
        <f>0-D323</f>
        <v>0</v>
      </c>
      <c r="F323" s="70">
        <f>0-E323-D323</f>
        <v>0</v>
      </c>
      <c r="G323" s="77">
        <f>-4618-F323-E323-D323</f>
        <v>-4618</v>
      </c>
      <c r="H323" s="89">
        <f>SUM(D323:G323)</f>
        <v>-4618</v>
      </c>
      <c r="I323" s="77">
        <v>0</v>
      </c>
      <c r="J323" s="77">
        <f>0-I323</f>
        <v>0</v>
      </c>
      <c r="K323" s="70">
        <f>0-J323-I323</f>
        <v>0</v>
      </c>
      <c r="L323" s="77">
        <f>0-K323-J323-I323</f>
        <v>0</v>
      </c>
      <c r="M323" s="89">
        <f>SUM(I323:L323)</f>
        <v>0</v>
      </c>
      <c r="N323" s="77">
        <v>0</v>
      </c>
      <c r="O323" s="77">
        <f>-44-N323</f>
        <v>-44</v>
      </c>
      <c r="P323" s="70">
        <f>-44-O323-N323</f>
        <v>0</v>
      </c>
      <c r="Q323" s="77">
        <f>-179-P323-O323-N323</f>
        <v>-135</v>
      </c>
      <c r="R323" s="89">
        <f>SUM(N323:Q323)</f>
        <v>-179</v>
      </c>
      <c r="S323" s="221"/>
      <c r="T323" s="221"/>
      <c r="U323" s="221"/>
      <c r="V323" s="221"/>
      <c r="W323" s="89">
        <f>SUM(S323:V323)</f>
        <v>0</v>
      </c>
      <c r="X323" s="221"/>
      <c r="Y323" s="221"/>
      <c r="Z323" s="221"/>
      <c r="AA323" s="221"/>
      <c r="AB323" s="89">
        <f>SUM(X323:AA323)</f>
        <v>0</v>
      </c>
      <c r="AC323" s="221"/>
      <c r="AD323" s="221"/>
      <c r="AE323" s="221"/>
      <c r="AF323" s="221"/>
      <c r="AG323" s="89">
        <f>SUM(AC323:AF323)</f>
        <v>0</v>
      </c>
      <c r="AH323" s="221"/>
      <c r="AI323" s="221"/>
      <c r="AJ323" s="221"/>
      <c r="AK323" s="221"/>
      <c r="AL323" s="89">
        <f>SUM(AH323:AK323)</f>
        <v>0</v>
      </c>
      <c r="AM323" s="221"/>
      <c r="AN323" s="221"/>
      <c r="AO323" s="221"/>
      <c r="AP323" s="221"/>
      <c r="AQ323" s="89">
        <f>SUM(AM323:AP323)</f>
        <v>0</v>
      </c>
    </row>
    <row r="324" spans="2:43" ht="17.25" outlineLevel="1" x14ac:dyDescent="0.4">
      <c r="B324" s="538" t="s">
        <v>204</v>
      </c>
      <c r="C324" s="539"/>
      <c r="D324" s="78">
        <v>10</v>
      </c>
      <c r="E324" s="78">
        <f>12-D324</f>
        <v>2</v>
      </c>
      <c r="F324" s="75">
        <f>-17-E324-D324</f>
        <v>-29</v>
      </c>
      <c r="G324" s="78">
        <f>-10-F324-E324-D324</f>
        <v>7</v>
      </c>
      <c r="H324" s="130">
        <f>SUM(D324:G324)</f>
        <v>-10</v>
      </c>
      <c r="I324" s="78">
        <v>9</v>
      </c>
      <c r="J324" s="78">
        <f>100-I324</f>
        <v>91</v>
      </c>
      <c r="K324" s="75">
        <f>123-J324-I324</f>
        <v>23</v>
      </c>
      <c r="L324" s="78">
        <f>135-K324-J324-I324</f>
        <v>12</v>
      </c>
      <c r="M324" s="130">
        <f>SUM(I324:L324)</f>
        <v>135</v>
      </c>
      <c r="N324" s="78">
        <v>6</v>
      </c>
      <c r="O324" s="78">
        <f>12-N324</f>
        <v>6</v>
      </c>
      <c r="P324" s="75">
        <f>21-O324-N324</f>
        <v>9</v>
      </c>
      <c r="Q324" s="78">
        <f>123+42-P324-O324-N324</f>
        <v>144</v>
      </c>
      <c r="R324" s="130">
        <f>SUM(N324:Q324)</f>
        <v>165</v>
      </c>
      <c r="S324" s="78"/>
      <c r="T324" s="78"/>
      <c r="U324" s="78"/>
      <c r="V324" s="78"/>
      <c r="W324" s="130">
        <f>SUM(S324:V324)</f>
        <v>0</v>
      </c>
      <c r="X324" s="78"/>
      <c r="Y324" s="78"/>
      <c r="Z324" s="78"/>
      <c r="AA324" s="78"/>
      <c r="AB324" s="130">
        <f>SUM(X324:AA324)</f>
        <v>0</v>
      </c>
      <c r="AC324" s="78"/>
      <c r="AD324" s="78"/>
      <c r="AE324" s="78"/>
      <c r="AF324" s="78"/>
      <c r="AG324" s="130">
        <f>SUM(AC324:AF324)</f>
        <v>0</v>
      </c>
      <c r="AH324" s="78"/>
      <c r="AI324" s="78"/>
      <c r="AJ324" s="78"/>
      <c r="AK324" s="78"/>
      <c r="AL324" s="130">
        <f>SUM(AH324:AK324)</f>
        <v>0</v>
      </c>
      <c r="AM324" s="78"/>
      <c r="AN324" s="78"/>
      <c r="AO324" s="78"/>
      <c r="AP324" s="78"/>
      <c r="AQ324" s="130">
        <f>SUM(AM324:AP324)</f>
        <v>0</v>
      </c>
    </row>
    <row r="325" spans="2:43" outlineLevel="1" x14ac:dyDescent="0.25">
      <c r="B325" s="612" t="s">
        <v>17</v>
      </c>
      <c r="C325" s="613"/>
      <c r="D325" s="86">
        <f>SUM(D321:D324)</f>
        <v>-1199</v>
      </c>
      <c r="E325" s="86">
        <f>SUM(E321:E324)</f>
        <v>-1351</v>
      </c>
      <c r="F325" s="86">
        <f>SUM(F321:F324)</f>
        <v>-1029</v>
      </c>
      <c r="G325" s="86">
        <f>SUM(G321:G324)</f>
        <v>-5867</v>
      </c>
      <c r="H325" s="87">
        <f>SUM(H322:H324)</f>
        <v>-9446</v>
      </c>
      <c r="I325" s="86">
        <f>SUM(I321:I324)</f>
        <v>-1206</v>
      </c>
      <c r="J325" s="86">
        <f>SUM(J321:J324)</f>
        <v>-1375</v>
      </c>
      <c r="K325" s="86">
        <f>SUM(K321:K324)</f>
        <v>-1086</v>
      </c>
      <c r="L325" s="86">
        <f>SUM(L321:L324)</f>
        <v>-1314</v>
      </c>
      <c r="M325" s="87">
        <f>SUM(M322:M324)</f>
        <v>-4981</v>
      </c>
      <c r="N325" s="86">
        <f>SUM(N321:N324)</f>
        <v>-1038</v>
      </c>
      <c r="O325" s="86">
        <f>SUM(O321:O324)</f>
        <v>-1615</v>
      </c>
      <c r="P325" s="86">
        <f>SUM(P321:P324)</f>
        <v>-1364</v>
      </c>
      <c r="Q325" s="86">
        <f>SUM(Q321:Q324)</f>
        <v>-1660</v>
      </c>
      <c r="R325" s="87">
        <f>SUM(R322:R324)</f>
        <v>-5677</v>
      </c>
      <c r="S325" s="86">
        <f>SUM(S321:S324)</f>
        <v>0</v>
      </c>
      <c r="T325" s="86">
        <f>SUM(T321:T324)</f>
        <v>0</v>
      </c>
      <c r="U325" s="86">
        <f>SUM(U321:U324)</f>
        <v>0</v>
      </c>
      <c r="V325" s="86">
        <f>SUM(V321:V324)</f>
        <v>0</v>
      </c>
      <c r="W325" s="87">
        <f>SUM(W322:W324)</f>
        <v>0</v>
      </c>
      <c r="X325" s="86">
        <f>SUM(X321:X324)</f>
        <v>0</v>
      </c>
      <c r="Y325" s="86">
        <f>SUM(Y321:Y324)</f>
        <v>0</v>
      </c>
      <c r="Z325" s="86">
        <f>SUM(Z321:Z324)</f>
        <v>0</v>
      </c>
      <c r="AA325" s="86">
        <f>SUM(AA321:AA324)</f>
        <v>0</v>
      </c>
      <c r="AB325" s="87">
        <f>SUM(AB322:AB324)</f>
        <v>0</v>
      </c>
      <c r="AC325" s="86">
        <f>SUM(AC321:AC324)</f>
        <v>0</v>
      </c>
      <c r="AD325" s="86">
        <f>SUM(AD321:AD324)</f>
        <v>0</v>
      </c>
      <c r="AE325" s="86">
        <f>SUM(AE321:AE324)</f>
        <v>0</v>
      </c>
      <c r="AF325" s="86">
        <f>SUM(AF321:AF324)</f>
        <v>0</v>
      </c>
      <c r="AG325" s="87">
        <f>SUM(AG322:AG324)</f>
        <v>0</v>
      </c>
      <c r="AH325" s="86">
        <f>SUM(AH321:AH324)</f>
        <v>0</v>
      </c>
      <c r="AI325" s="86">
        <f>SUM(AI321:AI324)</f>
        <v>0</v>
      </c>
      <c r="AJ325" s="86">
        <f>SUM(AJ321:AJ324)</f>
        <v>0</v>
      </c>
      <c r="AK325" s="86">
        <f>SUM(AK321:AK324)</f>
        <v>0</v>
      </c>
      <c r="AL325" s="87">
        <f>SUM(AL322:AL324)</f>
        <v>0</v>
      </c>
      <c r="AM325" s="86">
        <f>SUM(AM321:AM324)</f>
        <v>0</v>
      </c>
      <c r="AN325" s="86">
        <f>SUM(AN321:AN324)</f>
        <v>0</v>
      </c>
      <c r="AO325" s="86">
        <f>SUM(AO321:AO324)</f>
        <v>0</v>
      </c>
      <c r="AP325" s="86">
        <f>SUM(AP321:AP324)</f>
        <v>0</v>
      </c>
      <c r="AQ325" s="87">
        <f>SUM(AQ322:AQ324)</f>
        <v>0</v>
      </c>
    </row>
    <row r="326" spans="2:43" outlineLevel="1" x14ac:dyDescent="0.25">
      <c r="B326" s="555" t="s">
        <v>18</v>
      </c>
      <c r="C326" s="556"/>
      <c r="D326" s="374"/>
      <c r="E326" s="374"/>
      <c r="F326" s="374"/>
      <c r="G326" s="374"/>
      <c r="H326" s="375"/>
      <c r="I326" s="374"/>
      <c r="J326" s="374"/>
      <c r="K326" s="374"/>
      <c r="L326" s="374"/>
      <c r="M326" s="375"/>
      <c r="N326" s="374"/>
      <c r="O326" s="374"/>
      <c r="P326" s="374"/>
      <c r="Q326" s="374"/>
      <c r="R326" s="375"/>
      <c r="S326" s="376"/>
      <c r="T326" s="376"/>
      <c r="U326" s="376"/>
      <c r="V326" s="376"/>
      <c r="W326" s="375"/>
      <c r="X326" s="376"/>
      <c r="Y326" s="376"/>
      <c r="Z326" s="376"/>
      <c r="AA326" s="376"/>
      <c r="AB326" s="375"/>
      <c r="AC326" s="376"/>
      <c r="AD326" s="376"/>
      <c r="AE326" s="376"/>
      <c r="AF326" s="376"/>
      <c r="AG326" s="375"/>
      <c r="AH326" s="376"/>
      <c r="AI326" s="376"/>
      <c r="AJ326" s="376"/>
      <c r="AK326" s="376"/>
      <c r="AL326" s="375"/>
      <c r="AM326" s="376"/>
      <c r="AN326" s="376"/>
      <c r="AO326" s="376"/>
      <c r="AP326" s="376"/>
      <c r="AQ326" s="375"/>
    </row>
    <row r="327" spans="2:43" outlineLevel="1" x14ac:dyDescent="0.25">
      <c r="B327" s="553" t="s">
        <v>205</v>
      </c>
      <c r="C327" s="554"/>
      <c r="D327" s="377">
        <v>0</v>
      </c>
      <c r="E327" s="377">
        <f>0-D327</f>
        <v>0</v>
      </c>
      <c r="F327" s="377">
        <f>0-E327-D327</f>
        <v>0</v>
      </c>
      <c r="G327" s="377">
        <f>0-F327-E327-D327</f>
        <v>0</v>
      </c>
      <c r="H327" s="378">
        <f t="shared" ref="H327:H334" si="119">SUM(D327:G327)</f>
        <v>0</v>
      </c>
      <c r="I327" s="377">
        <v>0</v>
      </c>
      <c r="J327" s="377">
        <f>0-I327</f>
        <v>0</v>
      </c>
      <c r="K327" s="377">
        <f>0-J327-I327</f>
        <v>0</v>
      </c>
      <c r="L327" s="377">
        <f>0-K327-J327-I327</f>
        <v>0</v>
      </c>
      <c r="M327" s="378">
        <f t="shared" ref="M327:M334" si="120">SUM(I327:L327)</f>
        <v>0</v>
      </c>
      <c r="N327" s="377">
        <v>0</v>
      </c>
      <c r="O327" s="377">
        <f>250-N327</f>
        <v>250</v>
      </c>
      <c r="P327" s="377">
        <f>797-O327-N327</f>
        <v>547</v>
      </c>
      <c r="Q327" s="377">
        <f>0-P327-O327-N327</f>
        <v>-797</v>
      </c>
      <c r="R327" s="378">
        <f t="shared" ref="R327:R334" si="121">SUM(N327:Q327)</f>
        <v>0</v>
      </c>
      <c r="S327" s="377"/>
      <c r="T327" s="377"/>
      <c r="U327" s="377"/>
      <c r="V327" s="377"/>
      <c r="W327" s="378">
        <f t="shared" ref="W327:W334" si="122">SUM(S327:V327)</f>
        <v>0</v>
      </c>
      <c r="X327" s="377"/>
      <c r="Y327" s="377"/>
      <c r="Z327" s="377"/>
      <c r="AA327" s="377"/>
      <c r="AB327" s="378">
        <f t="shared" ref="AB327:AB334" si="123">SUM(X327:AA327)</f>
        <v>0</v>
      </c>
      <c r="AC327" s="377"/>
      <c r="AD327" s="377"/>
      <c r="AE327" s="377"/>
      <c r="AF327" s="377"/>
      <c r="AG327" s="378">
        <f t="shared" ref="AG327:AG334" si="124">SUM(AC327:AF327)</f>
        <v>0</v>
      </c>
      <c r="AH327" s="377"/>
      <c r="AI327" s="377"/>
      <c r="AJ327" s="377"/>
      <c r="AK327" s="377"/>
      <c r="AL327" s="378">
        <f t="shared" ref="AL327:AL334" si="125">SUM(AH327:AK327)</f>
        <v>0</v>
      </c>
      <c r="AM327" s="377"/>
      <c r="AN327" s="377"/>
      <c r="AO327" s="377"/>
      <c r="AP327" s="377"/>
      <c r="AQ327" s="378">
        <f t="shared" ref="AQ327:AQ334" si="126">SUM(AM327:AP327)</f>
        <v>0</v>
      </c>
    </row>
    <row r="328" spans="2:43" outlineLevel="1" x14ac:dyDescent="0.25">
      <c r="B328" s="155" t="s">
        <v>206</v>
      </c>
      <c r="C328" s="105"/>
      <c r="D328" s="377">
        <v>-15</v>
      </c>
      <c r="E328" s="377">
        <f>-17-D328</f>
        <v>-2</v>
      </c>
      <c r="F328" s="377">
        <f>-28-E328-D328</f>
        <v>-11</v>
      </c>
      <c r="G328" s="377">
        <f>-41-F328-E328-D328</f>
        <v>-13</v>
      </c>
      <c r="H328" s="378">
        <f t="shared" si="119"/>
        <v>-41</v>
      </c>
      <c r="I328" s="377">
        <v>-12</v>
      </c>
      <c r="J328" s="377">
        <f>-43-I328</f>
        <v>-31</v>
      </c>
      <c r="K328" s="377">
        <f>-49-J328-I328</f>
        <v>-6</v>
      </c>
      <c r="L328" s="377">
        <f>-82-K328-J328-I328</f>
        <v>-33</v>
      </c>
      <c r="M328" s="378">
        <f t="shared" si="120"/>
        <v>-82</v>
      </c>
      <c r="N328" s="377">
        <v>-12</v>
      </c>
      <c r="O328" s="377">
        <f>-28-N328</f>
        <v>-16</v>
      </c>
      <c r="P328" s="377">
        <f>-31-O328-N328</f>
        <v>-3</v>
      </c>
      <c r="Q328" s="377">
        <f>-38-P328-O328-N328</f>
        <v>-7</v>
      </c>
      <c r="R328" s="378">
        <f t="shared" si="121"/>
        <v>-38</v>
      </c>
      <c r="S328" s="377"/>
      <c r="T328" s="377"/>
      <c r="U328" s="377"/>
      <c r="V328" s="377"/>
      <c r="W328" s="378">
        <f t="shared" si="122"/>
        <v>0</v>
      </c>
      <c r="X328" s="377"/>
      <c r="Y328" s="377"/>
      <c r="Z328" s="377"/>
      <c r="AA328" s="377"/>
      <c r="AB328" s="378">
        <f t="shared" si="123"/>
        <v>0</v>
      </c>
      <c r="AC328" s="377"/>
      <c r="AD328" s="377"/>
      <c r="AE328" s="377"/>
      <c r="AF328" s="377"/>
      <c r="AG328" s="378">
        <f t="shared" si="124"/>
        <v>0</v>
      </c>
      <c r="AH328" s="377"/>
      <c r="AI328" s="377"/>
      <c r="AJ328" s="377"/>
      <c r="AK328" s="377"/>
      <c r="AL328" s="378">
        <f t="shared" si="125"/>
        <v>0</v>
      </c>
      <c r="AM328" s="377"/>
      <c r="AN328" s="377"/>
      <c r="AO328" s="377"/>
      <c r="AP328" s="377"/>
      <c r="AQ328" s="378">
        <f t="shared" si="126"/>
        <v>0</v>
      </c>
    </row>
    <row r="329" spans="2:43" outlineLevel="1" x14ac:dyDescent="0.25">
      <c r="B329" s="553" t="s">
        <v>207</v>
      </c>
      <c r="C329" s="554"/>
      <c r="D329" s="377">
        <v>0</v>
      </c>
      <c r="E329" s="377">
        <f>1238-D329</f>
        <v>1238</v>
      </c>
      <c r="F329" s="377">
        <f>1238-E329-D329</f>
        <v>0</v>
      </c>
      <c r="G329" s="377">
        <f>6519-F329-E329-D329</f>
        <v>5281</v>
      </c>
      <c r="H329" s="378">
        <f t="shared" si="119"/>
        <v>6519</v>
      </c>
      <c r="I329" s="377">
        <v>0</v>
      </c>
      <c r="J329" s="377">
        <f>0-I329</f>
        <v>0</v>
      </c>
      <c r="K329" s="377">
        <f>1190-J329-I329</f>
        <v>1190</v>
      </c>
      <c r="L329" s="377">
        <f>1190-K329-J329-I329</f>
        <v>0</v>
      </c>
      <c r="M329" s="378">
        <f t="shared" si="120"/>
        <v>1190</v>
      </c>
      <c r="N329" s="377">
        <v>0</v>
      </c>
      <c r="O329" s="377">
        <f>0-N329</f>
        <v>0</v>
      </c>
      <c r="P329" s="377">
        <f>1481-O329-N329</f>
        <v>1481</v>
      </c>
      <c r="Q329" s="377">
        <f>1480-P329-O329-N329</f>
        <v>-1</v>
      </c>
      <c r="R329" s="378">
        <f t="shared" si="121"/>
        <v>1480</v>
      </c>
      <c r="S329" s="377"/>
      <c r="T329" s="377"/>
      <c r="U329" s="377"/>
      <c r="V329" s="377"/>
      <c r="W329" s="378">
        <f t="shared" si="122"/>
        <v>0</v>
      </c>
      <c r="X329" s="377"/>
      <c r="Y329" s="377"/>
      <c r="Z329" s="377"/>
      <c r="AA329" s="377"/>
      <c r="AB329" s="378">
        <f t="shared" si="123"/>
        <v>0</v>
      </c>
      <c r="AC329" s="377"/>
      <c r="AD329" s="377"/>
      <c r="AE329" s="377"/>
      <c r="AF329" s="377"/>
      <c r="AG329" s="378">
        <f t="shared" si="124"/>
        <v>0</v>
      </c>
      <c r="AH329" s="377"/>
      <c r="AI329" s="377"/>
      <c r="AJ329" s="377"/>
      <c r="AK329" s="377"/>
      <c r="AL329" s="378">
        <f t="shared" si="125"/>
        <v>0</v>
      </c>
      <c r="AM329" s="377"/>
      <c r="AN329" s="377"/>
      <c r="AO329" s="377"/>
      <c r="AP329" s="377"/>
      <c r="AQ329" s="378">
        <f t="shared" si="126"/>
        <v>0</v>
      </c>
    </row>
    <row r="330" spans="2:43" outlineLevel="1" x14ac:dyDescent="0.25">
      <c r="B330" s="553" t="s">
        <v>208</v>
      </c>
      <c r="C330" s="554"/>
      <c r="D330" s="377">
        <v>46</v>
      </c>
      <c r="E330" s="377">
        <f>62-D330</f>
        <v>16</v>
      </c>
      <c r="F330" s="377">
        <f>79-E330-D330</f>
        <v>17</v>
      </c>
      <c r="G330" s="377">
        <f>183-F330-E330-D330</f>
        <v>104</v>
      </c>
      <c r="H330" s="378">
        <f t="shared" si="119"/>
        <v>183</v>
      </c>
      <c r="I330" s="377">
        <v>40</v>
      </c>
      <c r="J330" s="377">
        <f>164-I330</f>
        <v>124</v>
      </c>
      <c r="K330" s="377">
        <f>265-J330-I330</f>
        <v>101</v>
      </c>
      <c r="L330" s="377">
        <f>337-K330-J330-I330</f>
        <v>72</v>
      </c>
      <c r="M330" s="378">
        <f t="shared" si="120"/>
        <v>337</v>
      </c>
      <c r="N330" s="377">
        <v>150</v>
      </c>
      <c r="O330" s="377">
        <f>205-N330</f>
        <v>55</v>
      </c>
      <c r="P330" s="377">
        <f>284-O330-N330</f>
        <v>79</v>
      </c>
      <c r="Q330" s="377">
        <f>327-P330-O330-N330</f>
        <v>43</v>
      </c>
      <c r="R330" s="378">
        <f t="shared" si="121"/>
        <v>327</v>
      </c>
      <c r="S330" s="221"/>
      <c r="T330" s="221"/>
      <c r="U330" s="221"/>
      <c r="V330" s="221"/>
      <c r="W330" s="378">
        <f t="shared" si="122"/>
        <v>0</v>
      </c>
      <c r="X330" s="221"/>
      <c r="Y330" s="221"/>
      <c r="Z330" s="221"/>
      <c r="AA330" s="221"/>
      <c r="AB330" s="378">
        <f t="shared" si="123"/>
        <v>0</v>
      </c>
      <c r="AC330" s="221"/>
      <c r="AD330" s="221"/>
      <c r="AE330" s="221"/>
      <c r="AF330" s="221"/>
      <c r="AG330" s="378">
        <f t="shared" si="124"/>
        <v>0</v>
      </c>
      <c r="AH330" s="221"/>
      <c r="AI330" s="221"/>
      <c r="AJ330" s="221"/>
      <c r="AK330" s="221"/>
      <c r="AL330" s="378">
        <f t="shared" si="125"/>
        <v>0</v>
      </c>
      <c r="AM330" s="221"/>
      <c r="AN330" s="221"/>
      <c r="AO330" s="221"/>
      <c r="AP330" s="221"/>
      <c r="AQ330" s="378">
        <f t="shared" si="126"/>
        <v>0</v>
      </c>
    </row>
    <row r="331" spans="2:43" outlineLevel="1" x14ac:dyDescent="0.25">
      <c r="B331" s="553" t="s">
        <v>44</v>
      </c>
      <c r="C331" s="554"/>
      <c r="D331" s="377">
        <v>-71</v>
      </c>
      <c r="E331" s="377">
        <f>-141-D331</f>
        <v>-70</v>
      </c>
      <c r="F331" s="377">
        <f>-210-E331-D331</f>
        <v>-69</v>
      </c>
      <c r="G331" s="377">
        <f>-277-F331-E331-D331</f>
        <v>-67</v>
      </c>
      <c r="H331" s="378">
        <f t="shared" si="119"/>
        <v>-277</v>
      </c>
      <c r="I331" s="377">
        <v>-106</v>
      </c>
      <c r="J331" s="377">
        <f>-213-I331</f>
        <v>-107</v>
      </c>
      <c r="K331" s="377">
        <f>-319-J331-I331</f>
        <v>-106</v>
      </c>
      <c r="L331" s="377">
        <f>-426-K331-J331-I331</f>
        <v>-107</v>
      </c>
      <c r="M331" s="378">
        <f t="shared" si="120"/>
        <v>-426</v>
      </c>
      <c r="N331" s="377">
        <v>-134</v>
      </c>
      <c r="O331" s="377">
        <f>-268-N331</f>
        <v>-134</v>
      </c>
      <c r="P331" s="377">
        <f>-402-O331-N331</f>
        <v>-134</v>
      </c>
      <c r="Q331" s="377">
        <f>-535-P331-O331-N331</f>
        <v>-133</v>
      </c>
      <c r="R331" s="378">
        <f t="shared" si="121"/>
        <v>-535</v>
      </c>
      <c r="S331" s="377"/>
      <c r="T331" s="377"/>
      <c r="U331" s="377"/>
      <c r="V331" s="377"/>
      <c r="W331" s="378">
        <f t="shared" si="122"/>
        <v>0</v>
      </c>
      <c r="X331" s="377"/>
      <c r="Y331" s="377"/>
      <c r="Z331" s="377"/>
      <c r="AA331" s="377"/>
      <c r="AB331" s="378">
        <f t="shared" si="123"/>
        <v>0</v>
      </c>
      <c r="AC331" s="377"/>
      <c r="AD331" s="377"/>
      <c r="AE331" s="377"/>
      <c r="AF331" s="377"/>
      <c r="AG331" s="378">
        <f t="shared" si="124"/>
        <v>0</v>
      </c>
      <c r="AH331" s="377"/>
      <c r="AI331" s="377"/>
      <c r="AJ331" s="377"/>
      <c r="AK331" s="377"/>
      <c r="AL331" s="378">
        <f t="shared" si="125"/>
        <v>0</v>
      </c>
      <c r="AM331" s="377"/>
      <c r="AN331" s="377"/>
      <c r="AO331" s="377"/>
      <c r="AP331" s="377"/>
      <c r="AQ331" s="378">
        <f t="shared" si="126"/>
        <v>0</v>
      </c>
    </row>
    <row r="332" spans="2:43" outlineLevel="1" x14ac:dyDescent="0.25">
      <c r="B332" s="553" t="s">
        <v>209</v>
      </c>
      <c r="C332" s="554"/>
      <c r="D332" s="377">
        <v>-190</v>
      </c>
      <c r="E332" s="377">
        <f>-1101-D332</f>
        <v>-911</v>
      </c>
      <c r="F332" s="377">
        <f>-2133-E332-D332</f>
        <v>-1032</v>
      </c>
      <c r="G332" s="377">
        <f>-2722-F332-E332-D332</f>
        <v>-589</v>
      </c>
      <c r="H332" s="378">
        <f t="shared" si="119"/>
        <v>-2722</v>
      </c>
      <c r="I332" s="377">
        <v>-222</v>
      </c>
      <c r="J332" s="377">
        <f>-334-I332</f>
        <v>-112</v>
      </c>
      <c r="K332" s="377">
        <f>-358-J332-I332</f>
        <v>-24</v>
      </c>
      <c r="L332" s="377">
        <f>-509-K332-J332-I332</f>
        <v>-151</v>
      </c>
      <c r="M332" s="378">
        <f t="shared" si="120"/>
        <v>-509</v>
      </c>
      <c r="N332" s="377">
        <v>-86</v>
      </c>
      <c r="O332" s="377">
        <f>-270-N332</f>
        <v>-184</v>
      </c>
      <c r="P332" s="377">
        <f>-558-O332-N332</f>
        <v>-288</v>
      </c>
      <c r="Q332" s="377">
        <f>-1017-P332-O332-N332</f>
        <v>-459</v>
      </c>
      <c r="R332" s="378">
        <f t="shared" si="121"/>
        <v>-1017</v>
      </c>
      <c r="S332" s="377"/>
      <c r="T332" s="377"/>
      <c r="U332" s="377"/>
      <c r="V332" s="377"/>
      <c r="W332" s="378">
        <f t="shared" si="122"/>
        <v>0</v>
      </c>
      <c r="X332" s="377"/>
      <c r="Y332" s="377"/>
      <c r="Z332" s="377"/>
      <c r="AA332" s="377"/>
      <c r="AB332" s="378">
        <f t="shared" si="123"/>
        <v>0</v>
      </c>
      <c r="AC332" s="377"/>
      <c r="AD332" s="377"/>
      <c r="AE332" s="377"/>
      <c r="AF332" s="377"/>
      <c r="AG332" s="378">
        <f t="shared" si="124"/>
        <v>0</v>
      </c>
      <c r="AH332" s="377"/>
      <c r="AI332" s="377"/>
      <c r="AJ332" s="377"/>
      <c r="AK332" s="377"/>
      <c r="AL332" s="378">
        <f t="shared" si="125"/>
        <v>0</v>
      </c>
      <c r="AM332" s="377"/>
      <c r="AN332" s="377"/>
      <c r="AO332" s="377"/>
      <c r="AP332" s="377"/>
      <c r="AQ332" s="378">
        <f t="shared" si="126"/>
        <v>0</v>
      </c>
    </row>
    <row r="333" spans="2:43" outlineLevel="1" x14ac:dyDescent="0.25">
      <c r="B333" s="155" t="s">
        <v>211</v>
      </c>
      <c r="C333" s="105"/>
      <c r="D333" s="377"/>
      <c r="E333" s="377"/>
      <c r="F333" s="377"/>
      <c r="G333" s="377"/>
      <c r="H333" s="378">
        <f t="shared" si="119"/>
        <v>0</v>
      </c>
      <c r="I333" s="377"/>
      <c r="J333" s="377">
        <f>0-I333</f>
        <v>0</v>
      </c>
      <c r="K333" s="377">
        <f>0-J333-I333</f>
        <v>0</v>
      </c>
      <c r="L333" s="377">
        <f>0-K333-J333-I333</f>
        <v>0</v>
      </c>
      <c r="M333" s="378">
        <f t="shared" si="120"/>
        <v>0</v>
      </c>
      <c r="N333" s="377"/>
      <c r="O333" s="377"/>
      <c r="P333" s="377"/>
      <c r="Q333" s="377">
        <f>0-P333-O333-N333</f>
        <v>0</v>
      </c>
      <c r="R333" s="378">
        <f t="shared" si="121"/>
        <v>0</v>
      </c>
      <c r="S333" s="221"/>
      <c r="T333" s="221"/>
      <c r="U333" s="221"/>
      <c r="V333" s="221"/>
      <c r="W333" s="378">
        <f t="shared" si="122"/>
        <v>0</v>
      </c>
      <c r="X333" s="221"/>
      <c r="Y333" s="221"/>
      <c r="Z333" s="221"/>
      <c r="AA333" s="221"/>
      <c r="AB333" s="378">
        <f t="shared" si="123"/>
        <v>0</v>
      </c>
      <c r="AC333" s="221"/>
      <c r="AD333" s="221"/>
      <c r="AE333" s="221"/>
      <c r="AF333" s="221"/>
      <c r="AG333" s="378">
        <f t="shared" si="124"/>
        <v>0</v>
      </c>
      <c r="AH333" s="221"/>
      <c r="AI333" s="221"/>
      <c r="AJ333" s="221"/>
      <c r="AK333" s="221"/>
      <c r="AL333" s="378">
        <f t="shared" si="125"/>
        <v>0</v>
      </c>
      <c r="AM333" s="221"/>
      <c r="AN333" s="221"/>
      <c r="AO333" s="221"/>
      <c r="AP333" s="221"/>
      <c r="AQ333" s="378">
        <f t="shared" si="126"/>
        <v>0</v>
      </c>
    </row>
    <row r="334" spans="2:43" ht="17.25" outlineLevel="1" x14ac:dyDescent="0.4">
      <c r="B334" s="553" t="s">
        <v>201</v>
      </c>
      <c r="C334" s="554"/>
      <c r="D334" s="379">
        <v>6</v>
      </c>
      <c r="E334" s="379">
        <f>-8-D334</f>
        <v>-14</v>
      </c>
      <c r="F334" s="379">
        <f>-16+9-E334-D334</f>
        <v>1</v>
      </c>
      <c r="G334" s="379">
        <f>3-54-F334-E334-D334</f>
        <v>-44</v>
      </c>
      <c r="H334" s="380">
        <f t="shared" si="119"/>
        <v>-51</v>
      </c>
      <c r="I334" s="379">
        <f>-15+2</f>
        <v>-13</v>
      </c>
      <c r="J334" s="379">
        <f>-5-I334</f>
        <v>8</v>
      </c>
      <c r="K334" s="379">
        <f>2-J334-I334</f>
        <v>7</v>
      </c>
      <c r="L334" s="379">
        <f>18-K334-J334-I334</f>
        <v>16</v>
      </c>
      <c r="M334" s="380">
        <f t="shared" si="120"/>
        <v>18</v>
      </c>
      <c r="N334" s="379">
        <v>-6</v>
      </c>
      <c r="O334" s="379">
        <f>3-N334</f>
        <v>9</v>
      </c>
      <c r="P334" s="379">
        <f>6-O334-N334</f>
        <v>3</v>
      </c>
      <c r="Q334" s="379">
        <f>10-P334-O334-N334</f>
        <v>4</v>
      </c>
      <c r="R334" s="380">
        <f t="shared" si="121"/>
        <v>10</v>
      </c>
      <c r="S334" s="219"/>
      <c r="T334" s="219"/>
      <c r="U334" s="219"/>
      <c r="V334" s="219"/>
      <c r="W334" s="380">
        <f t="shared" si="122"/>
        <v>0</v>
      </c>
      <c r="X334" s="219"/>
      <c r="Y334" s="219"/>
      <c r="Z334" s="219"/>
      <c r="AA334" s="219"/>
      <c r="AB334" s="380">
        <f t="shared" si="123"/>
        <v>0</v>
      </c>
      <c r="AC334" s="219"/>
      <c r="AD334" s="219"/>
      <c r="AE334" s="219"/>
      <c r="AF334" s="219"/>
      <c r="AG334" s="380">
        <f t="shared" si="124"/>
        <v>0</v>
      </c>
      <c r="AH334" s="219"/>
      <c r="AI334" s="219"/>
      <c r="AJ334" s="219"/>
      <c r="AK334" s="219"/>
      <c r="AL334" s="380">
        <f t="shared" si="125"/>
        <v>0</v>
      </c>
      <c r="AM334" s="219"/>
      <c r="AN334" s="219"/>
      <c r="AO334" s="219"/>
      <c r="AP334" s="219"/>
      <c r="AQ334" s="380">
        <f t="shared" si="126"/>
        <v>0</v>
      </c>
    </row>
    <row r="335" spans="2:43" outlineLevel="1" x14ac:dyDescent="0.25">
      <c r="B335" s="551" t="s">
        <v>19</v>
      </c>
      <c r="C335" s="552"/>
      <c r="D335" s="364">
        <f t="shared" ref="D335:AQ335" si="127">SUM(D327:D334)</f>
        <v>-224</v>
      </c>
      <c r="E335" s="364">
        <f t="shared" si="127"/>
        <v>257</v>
      </c>
      <c r="F335" s="364">
        <f t="shared" si="127"/>
        <v>-1094</v>
      </c>
      <c r="G335" s="364">
        <f t="shared" si="127"/>
        <v>4672</v>
      </c>
      <c r="H335" s="365">
        <f t="shared" si="127"/>
        <v>3611</v>
      </c>
      <c r="I335" s="364">
        <f t="shared" si="127"/>
        <v>-313</v>
      </c>
      <c r="J335" s="364">
        <f t="shared" si="127"/>
        <v>-118</v>
      </c>
      <c r="K335" s="364">
        <f t="shared" si="127"/>
        <v>1162</v>
      </c>
      <c r="L335" s="364">
        <f t="shared" si="127"/>
        <v>-203</v>
      </c>
      <c r="M335" s="365">
        <f t="shared" si="127"/>
        <v>528</v>
      </c>
      <c r="N335" s="364">
        <f t="shared" si="127"/>
        <v>-88</v>
      </c>
      <c r="O335" s="364">
        <f t="shared" si="127"/>
        <v>-20</v>
      </c>
      <c r="P335" s="364">
        <f t="shared" si="127"/>
        <v>1685</v>
      </c>
      <c r="Q335" s="364">
        <f t="shared" si="127"/>
        <v>-1350</v>
      </c>
      <c r="R335" s="365">
        <f t="shared" si="127"/>
        <v>227</v>
      </c>
      <c r="S335" s="364">
        <f t="shared" si="127"/>
        <v>0</v>
      </c>
      <c r="T335" s="364">
        <f t="shared" si="127"/>
        <v>0</v>
      </c>
      <c r="U335" s="364">
        <f t="shared" si="127"/>
        <v>0</v>
      </c>
      <c r="V335" s="364">
        <f t="shared" si="127"/>
        <v>0</v>
      </c>
      <c r="W335" s="365">
        <f t="shared" si="127"/>
        <v>0</v>
      </c>
      <c r="X335" s="364">
        <f t="shared" si="127"/>
        <v>0</v>
      </c>
      <c r="Y335" s="364">
        <f t="shared" si="127"/>
        <v>0</v>
      </c>
      <c r="Z335" s="364">
        <f t="shared" si="127"/>
        <v>0</v>
      </c>
      <c r="AA335" s="364">
        <f t="shared" si="127"/>
        <v>0</v>
      </c>
      <c r="AB335" s="365">
        <f t="shared" si="127"/>
        <v>0</v>
      </c>
      <c r="AC335" s="364">
        <f t="shared" si="127"/>
        <v>0</v>
      </c>
      <c r="AD335" s="364">
        <f t="shared" si="127"/>
        <v>0</v>
      </c>
      <c r="AE335" s="364">
        <f t="shared" si="127"/>
        <v>0</v>
      </c>
      <c r="AF335" s="364">
        <f t="shared" si="127"/>
        <v>0</v>
      </c>
      <c r="AG335" s="365">
        <f t="shared" si="127"/>
        <v>0</v>
      </c>
      <c r="AH335" s="364">
        <f t="shared" si="127"/>
        <v>0</v>
      </c>
      <c r="AI335" s="364">
        <f t="shared" si="127"/>
        <v>0</v>
      </c>
      <c r="AJ335" s="364">
        <f t="shared" si="127"/>
        <v>0</v>
      </c>
      <c r="AK335" s="364">
        <f t="shared" si="127"/>
        <v>0</v>
      </c>
      <c r="AL335" s="365">
        <f t="shared" si="127"/>
        <v>0</v>
      </c>
      <c r="AM335" s="364">
        <f t="shared" si="127"/>
        <v>0</v>
      </c>
      <c r="AN335" s="364">
        <f t="shared" si="127"/>
        <v>0</v>
      </c>
      <c r="AO335" s="364">
        <f t="shared" si="127"/>
        <v>0</v>
      </c>
      <c r="AP335" s="364">
        <f t="shared" si="127"/>
        <v>0</v>
      </c>
      <c r="AQ335" s="365">
        <f t="shared" si="127"/>
        <v>0</v>
      </c>
    </row>
    <row r="336" spans="2:43" outlineLevel="1" x14ac:dyDescent="0.25">
      <c r="B336" s="300" t="s">
        <v>210</v>
      </c>
      <c r="C336" s="301"/>
      <c r="D336" s="255">
        <v>-38</v>
      </c>
      <c r="E336" s="255">
        <f>-53-D336</f>
        <v>-15</v>
      </c>
      <c r="F336" s="255">
        <f>-78-E336-D336</f>
        <v>-25</v>
      </c>
      <c r="G336" s="255">
        <f>-102-F336-E336-D336</f>
        <v>-24</v>
      </c>
      <c r="H336" s="400">
        <f>SUM(D336:G336)</f>
        <v>-102</v>
      </c>
      <c r="I336" s="255">
        <v>3</v>
      </c>
      <c r="J336" s="255">
        <f>-98-I336</f>
        <v>-101</v>
      </c>
      <c r="K336" s="255">
        <f>-70-J336-I336</f>
        <v>28</v>
      </c>
      <c r="L336" s="255">
        <f>-42-K336-J336-I336</f>
        <v>28</v>
      </c>
      <c r="M336" s="400">
        <f>SUM(I336:L336)</f>
        <v>-42</v>
      </c>
      <c r="N336" s="255">
        <v>70</v>
      </c>
      <c r="O336" s="255">
        <f>62-N336</f>
        <v>-8</v>
      </c>
      <c r="P336" s="255">
        <f>98-O336-N336</f>
        <v>36</v>
      </c>
      <c r="Q336" s="255">
        <f>72-P336-O336-N336</f>
        <v>-26</v>
      </c>
      <c r="R336" s="373">
        <f>SUM(N336:Q336)</f>
        <v>72</v>
      </c>
      <c r="S336" s="402"/>
      <c r="T336" s="402"/>
      <c r="U336" s="402"/>
      <c r="V336" s="402"/>
      <c r="W336" s="400">
        <f>SUM(S336:V336)</f>
        <v>0</v>
      </c>
      <c r="X336" s="402"/>
      <c r="Y336" s="402"/>
      <c r="Z336" s="402"/>
      <c r="AA336" s="402"/>
      <c r="AB336" s="400">
        <f>SUM(X336:AA336)</f>
        <v>0</v>
      </c>
      <c r="AC336" s="402"/>
      <c r="AD336" s="402"/>
      <c r="AE336" s="402"/>
      <c r="AF336" s="402"/>
      <c r="AG336" s="400">
        <f>SUM(AC336:AF336)</f>
        <v>0</v>
      </c>
      <c r="AH336" s="402"/>
      <c r="AI336" s="402"/>
      <c r="AJ336" s="402"/>
      <c r="AK336" s="402"/>
      <c r="AL336" s="400">
        <f>SUM(AH336:AK336)</f>
        <v>0</v>
      </c>
      <c r="AM336" s="402"/>
      <c r="AN336" s="402"/>
      <c r="AO336" s="402"/>
      <c r="AP336" s="402"/>
      <c r="AQ336" s="400">
        <f>SUM(AM336:AP336)</f>
        <v>0</v>
      </c>
    </row>
    <row r="337" spans="2:44" outlineLevel="1" x14ac:dyDescent="0.25">
      <c r="B337" s="538" t="s">
        <v>20</v>
      </c>
      <c r="C337" s="539"/>
      <c r="D337" s="70">
        <f t="shared" ref="D337:AQ337" si="128">D335+D325+D320+D336</f>
        <v>-220</v>
      </c>
      <c r="E337" s="70">
        <f t="shared" si="128"/>
        <v>104</v>
      </c>
      <c r="F337" s="70">
        <f t="shared" si="128"/>
        <v>-806</v>
      </c>
      <c r="G337" s="70">
        <f t="shared" si="128"/>
        <v>693</v>
      </c>
      <c r="H337" s="71">
        <f t="shared" si="128"/>
        <v>-229</v>
      </c>
      <c r="I337" s="70">
        <f t="shared" si="128"/>
        <v>-545</v>
      </c>
      <c r="J337" s="70">
        <f t="shared" si="128"/>
        <v>70</v>
      </c>
      <c r="K337" s="70">
        <f t="shared" si="128"/>
        <v>114</v>
      </c>
      <c r="L337" s="70">
        <f t="shared" si="128"/>
        <v>796</v>
      </c>
      <c r="M337" s="71">
        <f t="shared" si="128"/>
        <v>435</v>
      </c>
      <c r="N337" s="70">
        <f t="shared" si="128"/>
        <v>-466</v>
      </c>
      <c r="O337" s="70">
        <f t="shared" si="128"/>
        <v>-735</v>
      </c>
      <c r="P337" s="70">
        <f t="shared" si="128"/>
        <v>21</v>
      </c>
      <c r="Q337" s="70">
        <f t="shared" si="128"/>
        <v>476.12578599999688</v>
      </c>
      <c r="R337" s="71">
        <f t="shared" si="128"/>
        <v>-703.87421400000312</v>
      </c>
      <c r="S337" s="70">
        <f t="shared" si="128"/>
        <v>1409.2212173334387</v>
      </c>
      <c r="T337" s="70">
        <f t="shared" si="128"/>
        <v>1574.0847828218753</v>
      </c>
      <c r="U337" s="70">
        <f t="shared" si="128"/>
        <v>1603.6550897521377</v>
      </c>
      <c r="V337" s="70">
        <f t="shared" si="128"/>
        <v>1935.9951595291977</v>
      </c>
      <c r="W337" s="71">
        <f t="shared" si="128"/>
        <v>6522.956249436651</v>
      </c>
      <c r="X337" s="70">
        <f t="shared" si="128"/>
        <v>1620.2710104382497</v>
      </c>
      <c r="Y337" s="70">
        <f t="shared" si="128"/>
        <v>1822.7144598546511</v>
      </c>
      <c r="Z337" s="70">
        <f t="shared" si="128"/>
        <v>1866.8669961975545</v>
      </c>
      <c r="AA337" s="70">
        <f t="shared" si="128"/>
        <v>2075.4416411253901</v>
      </c>
      <c r="AB337" s="71">
        <f t="shared" si="128"/>
        <v>7385.2941076158686</v>
      </c>
      <c r="AC337" s="70">
        <f t="shared" si="128"/>
        <v>1866.3575804590605</v>
      </c>
      <c r="AD337" s="70">
        <f t="shared" si="128"/>
        <v>2092.5252859897346</v>
      </c>
      <c r="AE337" s="70">
        <f t="shared" si="128"/>
        <v>2138.6600833647312</v>
      </c>
      <c r="AF337" s="70">
        <f t="shared" si="128"/>
        <v>2321.9004079725428</v>
      </c>
      <c r="AG337" s="71">
        <f t="shared" si="128"/>
        <v>8419.4433577860691</v>
      </c>
      <c r="AH337" s="70">
        <f t="shared" si="128"/>
        <v>2138.3590108758763</v>
      </c>
      <c r="AI337" s="70">
        <f t="shared" si="128"/>
        <v>2389.0521709913014</v>
      </c>
      <c r="AJ337" s="70">
        <f t="shared" si="128"/>
        <v>2438.8590273591949</v>
      </c>
      <c r="AK337" s="70">
        <f t="shared" si="128"/>
        <v>2638.2798132084727</v>
      </c>
      <c r="AL337" s="71">
        <f t="shared" si="128"/>
        <v>9604.5500224348416</v>
      </c>
      <c r="AM337" s="70">
        <f t="shared" si="128"/>
        <v>2440.5936219256123</v>
      </c>
      <c r="AN337" s="70">
        <f t="shared" si="128"/>
        <v>2718.9759381034519</v>
      </c>
      <c r="AO337" s="70">
        <f t="shared" si="128"/>
        <v>2772.9295700221901</v>
      </c>
      <c r="AP337" s="70">
        <f t="shared" si="128"/>
        <v>2990.3846265558359</v>
      </c>
      <c r="AQ337" s="71">
        <f t="shared" si="128"/>
        <v>10922.883756607092</v>
      </c>
    </row>
    <row r="338" spans="2:44" ht="17.25" outlineLevel="1" x14ac:dyDescent="0.4">
      <c r="B338" s="538" t="s">
        <v>21</v>
      </c>
      <c r="C338" s="539"/>
      <c r="D338" s="75">
        <v>3763</v>
      </c>
      <c r="E338" s="75">
        <f>D339</f>
        <v>3543</v>
      </c>
      <c r="F338" s="75">
        <f>E339</f>
        <v>3647</v>
      </c>
      <c r="G338" s="75">
        <f>F339</f>
        <v>2841</v>
      </c>
      <c r="H338" s="76">
        <v>3763</v>
      </c>
      <c r="I338" s="75">
        <f>H339</f>
        <v>3534</v>
      </c>
      <c r="J338" s="75">
        <f>I339</f>
        <v>2989</v>
      </c>
      <c r="K338" s="75">
        <f>J339</f>
        <v>3059</v>
      </c>
      <c r="L338" s="75">
        <f>K339</f>
        <v>3173</v>
      </c>
      <c r="M338" s="76">
        <f>H339</f>
        <v>3534</v>
      </c>
      <c r="N338" s="75">
        <f>M339</f>
        <v>3969</v>
      </c>
      <c r="O338" s="75">
        <f>N339</f>
        <v>3503</v>
      </c>
      <c r="P338" s="75">
        <f>O339</f>
        <v>2768</v>
      </c>
      <c r="Q338" s="75">
        <f>P339</f>
        <v>2789</v>
      </c>
      <c r="R338" s="76">
        <f>M339</f>
        <v>3969</v>
      </c>
      <c r="S338" s="75">
        <f>R339</f>
        <v>3265.1257859999969</v>
      </c>
      <c r="T338" s="75">
        <f>S339</f>
        <v>4674.3470033334361</v>
      </c>
      <c r="U338" s="75">
        <f>T339</f>
        <v>6248.4317861553118</v>
      </c>
      <c r="V338" s="75">
        <f>U339</f>
        <v>7852.0868759074492</v>
      </c>
      <c r="W338" s="76">
        <f>R339</f>
        <v>3265.1257859999969</v>
      </c>
      <c r="X338" s="75">
        <f>W339</f>
        <v>9788.0820354366479</v>
      </c>
      <c r="Y338" s="75">
        <f>X339</f>
        <v>11408.353045874897</v>
      </c>
      <c r="Z338" s="75">
        <f>Y339</f>
        <v>13231.067505729548</v>
      </c>
      <c r="AA338" s="75">
        <f>Z339</f>
        <v>15097.934501927102</v>
      </c>
      <c r="AB338" s="76">
        <f>W339</f>
        <v>9788.0820354366479</v>
      </c>
      <c r="AC338" s="75">
        <f>AB339</f>
        <v>17173.376143052516</v>
      </c>
      <c r="AD338" s="75">
        <f>AC339</f>
        <v>19039.733723511577</v>
      </c>
      <c r="AE338" s="75">
        <f>AD339</f>
        <v>21132.259009501311</v>
      </c>
      <c r="AF338" s="75">
        <f>AE339</f>
        <v>23270.919092866043</v>
      </c>
      <c r="AG338" s="76">
        <f>AB339</f>
        <v>17173.376143052516</v>
      </c>
      <c r="AH338" s="75">
        <f>AG339</f>
        <v>25592.819500838585</v>
      </c>
      <c r="AI338" s="75">
        <f>AH339</f>
        <v>27731.178511714461</v>
      </c>
      <c r="AJ338" s="75">
        <f>AI339</f>
        <v>30120.230682705762</v>
      </c>
      <c r="AK338" s="75">
        <f>AJ339</f>
        <v>32559.089710064956</v>
      </c>
      <c r="AL338" s="76">
        <f>AG339</f>
        <v>25592.819500838585</v>
      </c>
      <c r="AM338" s="75">
        <f>AL339</f>
        <v>35197.369523273424</v>
      </c>
      <c r="AN338" s="75">
        <f>AM339</f>
        <v>37637.963145199035</v>
      </c>
      <c r="AO338" s="75">
        <f>AN339</f>
        <v>40356.939083302488</v>
      </c>
      <c r="AP338" s="75">
        <f>AO339</f>
        <v>43129.86865332468</v>
      </c>
      <c r="AQ338" s="76">
        <f>AL339</f>
        <v>35197.369523273424</v>
      </c>
    </row>
    <row r="339" spans="2:44" outlineLevel="1" x14ac:dyDescent="0.25">
      <c r="B339" s="575" t="s">
        <v>22</v>
      </c>
      <c r="C339" s="576"/>
      <c r="D339" s="84">
        <f>D338+D337</f>
        <v>3543</v>
      </c>
      <c r="E339" s="84">
        <f>E338+E337</f>
        <v>3647</v>
      </c>
      <c r="F339" s="84">
        <f>F338+F337</f>
        <v>2841</v>
      </c>
      <c r="G339" s="84">
        <f>G338+G337</f>
        <v>3534</v>
      </c>
      <c r="H339" s="85">
        <f>G339</f>
        <v>3534</v>
      </c>
      <c r="I339" s="84">
        <f t="shared" ref="I339:AQ339" si="129">I338+I337</f>
        <v>2989</v>
      </c>
      <c r="J339" s="84">
        <f t="shared" si="129"/>
        <v>3059</v>
      </c>
      <c r="K339" s="84">
        <f t="shared" si="129"/>
        <v>3173</v>
      </c>
      <c r="L339" s="84">
        <f t="shared" si="129"/>
        <v>3969</v>
      </c>
      <c r="M339" s="85">
        <f t="shared" si="129"/>
        <v>3969</v>
      </c>
      <c r="N339" s="84">
        <f t="shared" si="129"/>
        <v>3503</v>
      </c>
      <c r="O339" s="84">
        <f t="shared" si="129"/>
        <v>2768</v>
      </c>
      <c r="P339" s="84">
        <f t="shared" si="129"/>
        <v>2789</v>
      </c>
      <c r="Q339" s="84">
        <f t="shared" si="129"/>
        <v>3265.1257859999969</v>
      </c>
      <c r="R339" s="85">
        <f t="shared" si="129"/>
        <v>3265.1257859999969</v>
      </c>
      <c r="S339" s="84">
        <f t="shared" si="129"/>
        <v>4674.3470033334361</v>
      </c>
      <c r="T339" s="84">
        <f t="shared" si="129"/>
        <v>6248.4317861553118</v>
      </c>
      <c r="U339" s="84">
        <f t="shared" si="129"/>
        <v>7852.0868759074492</v>
      </c>
      <c r="V339" s="84">
        <f t="shared" si="129"/>
        <v>9788.0820354366479</v>
      </c>
      <c r="W339" s="85">
        <f t="shared" si="129"/>
        <v>9788.0820354366479</v>
      </c>
      <c r="X339" s="84">
        <f t="shared" si="129"/>
        <v>11408.353045874897</v>
      </c>
      <c r="Y339" s="84">
        <f t="shared" si="129"/>
        <v>13231.067505729548</v>
      </c>
      <c r="Z339" s="84">
        <f t="shared" si="129"/>
        <v>15097.934501927102</v>
      </c>
      <c r="AA339" s="84">
        <f t="shared" si="129"/>
        <v>17173.376143052494</v>
      </c>
      <c r="AB339" s="85">
        <f t="shared" si="129"/>
        <v>17173.376143052516</v>
      </c>
      <c r="AC339" s="84">
        <f t="shared" si="129"/>
        <v>19039.733723511577</v>
      </c>
      <c r="AD339" s="84">
        <f t="shared" si="129"/>
        <v>21132.259009501311</v>
      </c>
      <c r="AE339" s="84">
        <f t="shared" si="129"/>
        <v>23270.919092866043</v>
      </c>
      <c r="AF339" s="84">
        <f t="shared" si="129"/>
        <v>25592.819500838585</v>
      </c>
      <c r="AG339" s="85">
        <f t="shared" si="129"/>
        <v>25592.819500838585</v>
      </c>
      <c r="AH339" s="84">
        <f t="shared" si="129"/>
        <v>27731.178511714461</v>
      </c>
      <c r="AI339" s="84">
        <f t="shared" si="129"/>
        <v>30120.230682705762</v>
      </c>
      <c r="AJ339" s="84">
        <f t="shared" si="129"/>
        <v>32559.089710064956</v>
      </c>
      <c r="AK339" s="84">
        <f t="shared" si="129"/>
        <v>35197.369523273432</v>
      </c>
      <c r="AL339" s="85">
        <f t="shared" si="129"/>
        <v>35197.369523273424</v>
      </c>
      <c r="AM339" s="84">
        <f t="shared" si="129"/>
        <v>37637.963145199035</v>
      </c>
      <c r="AN339" s="84">
        <f t="shared" si="129"/>
        <v>40356.939083302488</v>
      </c>
      <c r="AO339" s="84">
        <f t="shared" si="129"/>
        <v>43129.86865332468</v>
      </c>
      <c r="AP339" s="84">
        <f t="shared" si="129"/>
        <v>46120.253279880519</v>
      </c>
      <c r="AQ339" s="85">
        <f t="shared" si="129"/>
        <v>46120.253279880519</v>
      </c>
    </row>
    <row r="340" spans="2:44" s="88" customFormat="1" outlineLevel="1" x14ac:dyDescent="0.25">
      <c r="B340" s="598" t="s">
        <v>310</v>
      </c>
      <c r="C340" s="599"/>
      <c r="D340" s="374"/>
      <c r="E340" s="374"/>
      <c r="F340" s="374"/>
      <c r="G340" s="374"/>
      <c r="H340" s="375">
        <f>H320-(-H322)+((-H29)*(1-$C$381))</f>
        <v>1226</v>
      </c>
      <c r="I340" s="374"/>
      <c r="J340" s="374"/>
      <c r="K340" s="374"/>
      <c r="L340" s="374"/>
      <c r="M340" s="375">
        <f>M320-(-M322)+((-M29)*(1-$C$381))</f>
        <v>326</v>
      </c>
      <c r="N340" s="374"/>
      <c r="O340" s="374"/>
      <c r="P340" s="374"/>
      <c r="Q340" s="374"/>
      <c r="R340" s="375">
        <f>R320-(-R322)+((-R29)*(1-$C$381))</f>
        <v>-430.87421400000312</v>
      </c>
      <c r="S340" s="374"/>
      <c r="T340" s="374"/>
      <c r="U340" s="374"/>
      <c r="V340" s="374"/>
      <c r="W340" s="375"/>
      <c r="X340" s="374"/>
      <c r="Y340" s="374"/>
      <c r="Z340" s="374"/>
      <c r="AA340" s="374"/>
      <c r="AB340" s="375"/>
      <c r="AC340" s="374"/>
      <c r="AD340" s="374"/>
      <c r="AE340" s="374"/>
      <c r="AF340" s="374"/>
      <c r="AG340" s="375"/>
      <c r="AH340" s="374"/>
      <c r="AI340" s="374"/>
      <c r="AJ340" s="374"/>
      <c r="AK340" s="374"/>
      <c r="AL340" s="375"/>
      <c r="AM340" s="374"/>
      <c r="AN340" s="374"/>
      <c r="AO340" s="374"/>
      <c r="AP340" s="374"/>
      <c r="AQ340" s="375"/>
      <c r="AR340" s="467"/>
    </row>
    <row r="341" spans="2:44" s="88" customFormat="1" outlineLevel="1" x14ac:dyDescent="0.25">
      <c r="B341" s="155" t="s">
        <v>48</v>
      </c>
      <c r="C341" s="105"/>
      <c r="D341" s="377"/>
      <c r="E341" s="377"/>
      <c r="F341" s="377"/>
      <c r="G341" s="377"/>
      <c r="H341" s="378">
        <v>0</v>
      </c>
      <c r="I341" s="377"/>
      <c r="J341" s="377"/>
      <c r="K341" s="377"/>
      <c r="L341" s="377"/>
      <c r="M341" s="378">
        <v>0</v>
      </c>
      <c r="N341" s="377"/>
      <c r="O341" s="377"/>
      <c r="P341" s="377"/>
      <c r="Q341" s="377"/>
      <c r="R341" s="378">
        <v>0</v>
      </c>
      <c r="S341" s="377"/>
      <c r="T341" s="377"/>
      <c r="U341" s="377"/>
      <c r="V341" s="377"/>
      <c r="W341" s="378"/>
      <c r="X341" s="377"/>
      <c r="Y341" s="377"/>
      <c r="Z341" s="377"/>
      <c r="AA341" s="377"/>
      <c r="AB341" s="378"/>
      <c r="AC341" s="377"/>
      <c r="AD341" s="377"/>
      <c r="AE341" s="377"/>
      <c r="AF341" s="377"/>
      <c r="AG341" s="378"/>
      <c r="AH341" s="377"/>
      <c r="AI341" s="377"/>
      <c r="AJ341" s="377"/>
      <c r="AK341" s="377"/>
      <c r="AL341" s="378"/>
      <c r="AM341" s="377"/>
      <c r="AN341" s="377"/>
      <c r="AO341" s="377"/>
      <c r="AP341" s="377"/>
      <c r="AQ341" s="378"/>
    </row>
    <row r="342" spans="2:44" s="88" customFormat="1" outlineLevel="1" x14ac:dyDescent="0.25">
      <c r="B342" s="565" t="s">
        <v>32</v>
      </c>
      <c r="C342" s="566"/>
      <c r="D342" s="385"/>
      <c r="E342" s="385"/>
      <c r="F342" s="385"/>
      <c r="G342" s="385"/>
      <c r="H342" s="386">
        <f>H340/(1+$C$383)^H341</f>
        <v>1226</v>
      </c>
      <c r="I342" s="385"/>
      <c r="J342" s="385"/>
      <c r="K342" s="385"/>
      <c r="L342" s="385"/>
      <c r="M342" s="386">
        <f>M340/(1+$C$383)^M341</f>
        <v>326</v>
      </c>
      <c r="N342" s="385"/>
      <c r="O342" s="385"/>
      <c r="P342" s="385"/>
      <c r="Q342" s="385"/>
      <c r="R342" s="386">
        <f>R340/(1+$C$383)^R341</f>
        <v>-430.87421400000312</v>
      </c>
      <c r="S342" s="385"/>
      <c r="T342" s="385"/>
      <c r="U342" s="385"/>
      <c r="V342" s="385"/>
      <c r="W342" s="386"/>
      <c r="X342" s="385"/>
      <c r="Y342" s="385"/>
      <c r="Z342" s="385"/>
      <c r="AA342" s="385"/>
      <c r="AB342" s="386"/>
      <c r="AC342" s="385"/>
      <c r="AD342" s="385"/>
      <c r="AE342" s="385"/>
      <c r="AF342" s="385"/>
      <c r="AG342" s="386"/>
      <c r="AH342" s="385"/>
      <c r="AI342" s="385"/>
      <c r="AJ342" s="385"/>
      <c r="AK342" s="385"/>
      <c r="AL342" s="386"/>
      <c r="AM342" s="385"/>
      <c r="AN342" s="385"/>
      <c r="AO342" s="385"/>
      <c r="AP342" s="385"/>
      <c r="AQ342" s="386"/>
    </row>
    <row r="343" spans="2:44" outlineLevel="1" x14ac:dyDescent="0.25">
      <c r="B343" s="234" t="s">
        <v>63</v>
      </c>
      <c r="C343" s="315"/>
      <c r="D343" s="255"/>
      <c r="E343" s="50"/>
      <c r="F343" s="50"/>
      <c r="G343" s="50"/>
      <c r="H343" s="51"/>
      <c r="I343" s="50"/>
      <c r="J343" s="50"/>
      <c r="K343" s="50"/>
      <c r="L343" s="50"/>
      <c r="M343" s="51"/>
      <c r="N343" s="50"/>
      <c r="O343" s="50"/>
      <c r="P343" s="50"/>
      <c r="Q343" s="50"/>
      <c r="R343" s="51"/>
      <c r="S343" s="50"/>
      <c r="T343" s="50"/>
      <c r="U343" s="50"/>
      <c r="V343" s="50"/>
      <c r="W343" s="51"/>
      <c r="X343" s="50"/>
      <c r="Y343" s="50"/>
      <c r="Z343" s="50"/>
      <c r="AA343" s="50"/>
      <c r="AB343" s="51"/>
      <c r="AC343" s="50"/>
      <c r="AD343" s="50"/>
      <c r="AE343" s="50"/>
      <c r="AF343" s="50"/>
      <c r="AG343" s="51"/>
      <c r="AH343" s="50"/>
      <c r="AI343" s="50"/>
      <c r="AJ343" s="50"/>
      <c r="AK343" s="50"/>
      <c r="AL343" s="51"/>
      <c r="AM343" s="50"/>
      <c r="AN343" s="50"/>
      <c r="AO343" s="50"/>
      <c r="AP343" s="50"/>
      <c r="AQ343" s="51"/>
    </row>
    <row r="344" spans="2:44" outlineLevel="1" x14ac:dyDescent="0.25">
      <c r="B344" s="287" t="s">
        <v>312</v>
      </c>
      <c r="C344" s="288"/>
      <c r="D344" s="70">
        <f t="shared" ref="D344:R344" si="130">+D244</f>
        <v>3543</v>
      </c>
      <c r="E344" s="70">
        <f t="shared" si="130"/>
        <v>3647</v>
      </c>
      <c r="F344" s="70">
        <f t="shared" si="130"/>
        <v>2841</v>
      </c>
      <c r="G344" s="70">
        <f t="shared" si="130"/>
        <v>3534</v>
      </c>
      <c r="H344" s="71">
        <f t="shared" si="130"/>
        <v>3534</v>
      </c>
      <c r="I344" s="70">
        <f t="shared" si="130"/>
        <v>2989</v>
      </c>
      <c r="J344" s="70">
        <f t="shared" si="130"/>
        <v>3059</v>
      </c>
      <c r="K344" s="70">
        <f t="shared" si="130"/>
        <v>3173</v>
      </c>
      <c r="L344" s="70">
        <f t="shared" si="130"/>
        <v>3969</v>
      </c>
      <c r="M344" s="71">
        <f t="shared" si="130"/>
        <v>3969</v>
      </c>
      <c r="N344" s="70">
        <f t="shared" si="130"/>
        <v>3503</v>
      </c>
      <c r="O344" s="70">
        <f t="shared" si="130"/>
        <v>2768</v>
      </c>
      <c r="P344" s="70">
        <f t="shared" si="130"/>
        <v>2789</v>
      </c>
      <c r="Q344" s="70">
        <f t="shared" si="130"/>
        <v>3265.1257859999969</v>
      </c>
      <c r="R344" s="71">
        <f t="shared" si="130"/>
        <v>3265.1257859999969</v>
      </c>
      <c r="S344" s="70"/>
      <c r="T344" s="70"/>
      <c r="U344" s="70"/>
      <c r="V344" s="70"/>
      <c r="W344" s="71"/>
      <c r="X344" s="70"/>
      <c r="Y344" s="70"/>
      <c r="Z344" s="70"/>
      <c r="AA344" s="70"/>
      <c r="AB344" s="71"/>
      <c r="AC344" s="70"/>
      <c r="AD344" s="70"/>
      <c r="AE344" s="70"/>
      <c r="AF344" s="70"/>
      <c r="AG344" s="71"/>
      <c r="AH344" s="70"/>
      <c r="AI344" s="70"/>
      <c r="AJ344" s="70"/>
      <c r="AK344" s="70"/>
      <c r="AL344" s="71"/>
      <c r="AM344" s="70"/>
      <c r="AN344" s="70"/>
      <c r="AO344" s="70"/>
      <c r="AP344" s="70"/>
      <c r="AQ344" s="71"/>
    </row>
    <row r="345" spans="2:44" outlineLevel="1" x14ac:dyDescent="0.25">
      <c r="B345" s="287" t="s">
        <v>311</v>
      </c>
      <c r="C345" s="288"/>
      <c r="D345" s="70">
        <f t="shared" ref="D345:R345" si="131">-D257-D258-D263</f>
        <v>-7258</v>
      </c>
      <c r="E345" s="70">
        <f t="shared" si="131"/>
        <v>-8495</v>
      </c>
      <c r="F345" s="70">
        <f t="shared" si="131"/>
        <v>-8488</v>
      </c>
      <c r="G345" s="70">
        <f t="shared" si="131"/>
        <v>-13762</v>
      </c>
      <c r="H345" s="71">
        <f t="shared" si="131"/>
        <v>-13762</v>
      </c>
      <c r="I345" s="70">
        <f t="shared" si="131"/>
        <v>-13782</v>
      </c>
      <c r="J345" s="70">
        <f t="shared" si="131"/>
        <v>-13596</v>
      </c>
      <c r="K345" s="70">
        <f t="shared" si="131"/>
        <v>-14758</v>
      </c>
      <c r="L345" s="70">
        <f t="shared" si="131"/>
        <v>-14931</v>
      </c>
      <c r="M345" s="71">
        <f t="shared" si="131"/>
        <v>-14931</v>
      </c>
      <c r="N345" s="70">
        <f t="shared" si="131"/>
        <v>-15156</v>
      </c>
      <c r="O345" s="70">
        <f t="shared" si="131"/>
        <v>-15441</v>
      </c>
      <c r="P345" s="70">
        <f t="shared" si="131"/>
        <v>-17580</v>
      </c>
      <c r="Q345" s="70">
        <f t="shared" si="131"/>
        <v>-16585</v>
      </c>
      <c r="R345" s="71">
        <f t="shared" si="131"/>
        <v>-16585</v>
      </c>
      <c r="S345" s="70"/>
      <c r="T345" s="70"/>
      <c r="U345" s="70"/>
      <c r="V345" s="70"/>
      <c r="W345" s="71"/>
      <c r="X345" s="70"/>
      <c r="Y345" s="70"/>
      <c r="Z345" s="70"/>
      <c r="AA345" s="70"/>
      <c r="AB345" s="71"/>
      <c r="AC345" s="70"/>
      <c r="AD345" s="70"/>
      <c r="AE345" s="70"/>
      <c r="AF345" s="70"/>
      <c r="AG345" s="71"/>
      <c r="AH345" s="70"/>
      <c r="AI345" s="70"/>
      <c r="AJ345" s="70"/>
      <c r="AK345" s="70"/>
      <c r="AL345" s="71"/>
      <c r="AM345" s="70"/>
      <c r="AN345" s="70"/>
      <c r="AO345" s="70"/>
      <c r="AP345" s="70"/>
      <c r="AQ345" s="71"/>
    </row>
    <row r="346" spans="2:44" outlineLevel="1" x14ac:dyDescent="0.25">
      <c r="B346" s="534" t="s">
        <v>313</v>
      </c>
      <c r="C346" s="535"/>
      <c r="D346" s="256">
        <f t="shared" ref="D346:R346" si="132">(D344+D345)/D41</f>
        <v>-12.98951048951049</v>
      </c>
      <c r="E346" s="256">
        <f t="shared" si="132"/>
        <v>-17.130742049469966</v>
      </c>
      <c r="F346" s="256">
        <f t="shared" si="132"/>
        <v>-20.534545454545455</v>
      </c>
      <c r="G346" s="256">
        <f t="shared" si="132"/>
        <v>-38.022304832713758</v>
      </c>
      <c r="H346" s="257">
        <f t="shared" si="132"/>
        <v>-36.584177015744814</v>
      </c>
      <c r="I346" s="256">
        <f t="shared" si="132"/>
        <v>-40.063103192279144</v>
      </c>
      <c r="J346" s="256">
        <f t="shared" si="132"/>
        <v>-39.025925925925925</v>
      </c>
      <c r="K346" s="256">
        <f t="shared" si="132"/>
        <v>-42.749077490774908</v>
      </c>
      <c r="L346" s="256">
        <f t="shared" si="132"/>
        <v>-40.34596981965403</v>
      </c>
      <c r="M346" s="257">
        <f t="shared" si="132"/>
        <v>-40.489474677232423</v>
      </c>
      <c r="N346" s="256">
        <f t="shared" si="132"/>
        <v>-42.841911764705884</v>
      </c>
      <c r="O346" s="256">
        <f t="shared" si="132"/>
        <v>-46.43939878690918</v>
      </c>
      <c r="P346" s="256">
        <f t="shared" si="132"/>
        <v>-54.179487179487182</v>
      </c>
      <c r="Q346" s="256">
        <f t="shared" si="132"/>
        <v>-49.078386934414162</v>
      </c>
      <c r="R346" s="257">
        <f t="shared" si="132"/>
        <v>-48.916174124127807</v>
      </c>
      <c r="S346" s="256"/>
      <c r="T346" s="256"/>
      <c r="U346" s="256"/>
      <c r="V346" s="256"/>
      <c r="W346" s="257"/>
      <c r="X346" s="256"/>
      <c r="Y346" s="256"/>
      <c r="Z346" s="256"/>
      <c r="AA346" s="256"/>
      <c r="AB346" s="257"/>
      <c r="AC346" s="256"/>
      <c r="AD346" s="256"/>
      <c r="AE346" s="256"/>
      <c r="AF346" s="256"/>
      <c r="AG346" s="257"/>
      <c r="AH346" s="256"/>
      <c r="AI346" s="256"/>
      <c r="AJ346" s="256"/>
      <c r="AK346" s="256"/>
      <c r="AL346" s="257"/>
      <c r="AM346" s="256"/>
      <c r="AN346" s="256"/>
      <c r="AO346" s="256"/>
      <c r="AP346" s="256"/>
      <c r="AQ346" s="257"/>
    </row>
    <row r="347" spans="2:44" x14ac:dyDescent="0.25">
      <c r="B347" s="597"/>
      <c r="C347" s="597"/>
      <c r="D347" s="59"/>
      <c r="E347" s="58"/>
      <c r="F347" s="58"/>
      <c r="G347" s="59"/>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row>
    <row r="348" spans="2:44" ht="15.75" x14ac:dyDescent="0.25">
      <c r="B348" s="532" t="s">
        <v>28</v>
      </c>
      <c r="C348" s="540"/>
      <c r="D348" s="67" t="s">
        <v>88</v>
      </c>
      <c r="E348" s="67" t="s">
        <v>89</v>
      </c>
      <c r="F348" s="67" t="s">
        <v>90</v>
      </c>
      <c r="G348" s="67" t="s">
        <v>91</v>
      </c>
      <c r="H348" s="403" t="s">
        <v>91</v>
      </c>
      <c r="I348" s="67" t="s">
        <v>92</v>
      </c>
      <c r="J348" s="67" t="s">
        <v>93</v>
      </c>
      <c r="K348" s="67" t="s">
        <v>94</v>
      </c>
      <c r="L348" s="67" t="s">
        <v>95</v>
      </c>
      <c r="M348" s="403" t="s">
        <v>95</v>
      </c>
      <c r="N348" s="67" t="s">
        <v>96</v>
      </c>
      <c r="O348" s="67" t="s">
        <v>97</v>
      </c>
      <c r="P348" s="67" t="s">
        <v>98</v>
      </c>
      <c r="Q348" s="67" t="s">
        <v>99</v>
      </c>
      <c r="R348" s="403" t="s">
        <v>99</v>
      </c>
      <c r="S348" s="69" t="s">
        <v>100</v>
      </c>
      <c r="T348" s="69" t="s">
        <v>101</v>
      </c>
      <c r="U348" s="69" t="s">
        <v>102</v>
      </c>
      <c r="V348" s="69" t="s">
        <v>103</v>
      </c>
      <c r="W348" s="407" t="s">
        <v>103</v>
      </c>
      <c r="X348" s="69" t="s">
        <v>104</v>
      </c>
      <c r="Y348" s="69" t="s">
        <v>105</v>
      </c>
      <c r="Z348" s="69" t="s">
        <v>106</v>
      </c>
      <c r="AA348" s="69" t="s">
        <v>107</v>
      </c>
      <c r="AB348" s="407" t="s">
        <v>107</v>
      </c>
      <c r="AC348" s="69" t="s">
        <v>108</v>
      </c>
      <c r="AD348" s="69" t="s">
        <v>109</v>
      </c>
      <c r="AE348" s="69" t="s">
        <v>110</v>
      </c>
      <c r="AF348" s="69" t="s">
        <v>111</v>
      </c>
      <c r="AG348" s="407" t="s">
        <v>111</v>
      </c>
      <c r="AH348" s="69" t="s">
        <v>112</v>
      </c>
      <c r="AI348" s="69" t="s">
        <v>113</v>
      </c>
      <c r="AJ348" s="69" t="s">
        <v>114</v>
      </c>
      <c r="AK348" s="69" t="s">
        <v>115</v>
      </c>
      <c r="AL348" s="407" t="s">
        <v>115</v>
      </c>
      <c r="AM348" s="69" t="s">
        <v>116</v>
      </c>
      <c r="AN348" s="69" t="s">
        <v>117</v>
      </c>
      <c r="AO348" s="69" t="s">
        <v>118</v>
      </c>
      <c r="AP348" s="69" t="s">
        <v>119</v>
      </c>
      <c r="AQ348" s="407" t="s">
        <v>119</v>
      </c>
    </row>
    <row r="349" spans="2:44" ht="17.25" x14ac:dyDescent="0.4">
      <c r="B349" s="541"/>
      <c r="C349" s="542"/>
      <c r="D349" s="68" t="s">
        <v>52</v>
      </c>
      <c r="E349" s="68" t="s">
        <v>55</v>
      </c>
      <c r="F349" s="68" t="s">
        <v>56</v>
      </c>
      <c r="G349" s="68" t="s">
        <v>60</v>
      </c>
      <c r="H349" s="404" t="s">
        <v>61</v>
      </c>
      <c r="I349" s="68" t="s">
        <v>62</v>
      </c>
      <c r="J349" s="68" t="s">
        <v>73</v>
      </c>
      <c r="K349" s="68" t="s">
        <v>77</v>
      </c>
      <c r="L349" s="68" t="s">
        <v>81</v>
      </c>
      <c r="M349" s="404" t="s">
        <v>82</v>
      </c>
      <c r="N349" s="68" t="s">
        <v>83</v>
      </c>
      <c r="O349" s="68" t="s">
        <v>84</v>
      </c>
      <c r="P349" s="68" t="s">
        <v>85</v>
      </c>
      <c r="Q349" s="68" t="s">
        <v>86</v>
      </c>
      <c r="R349" s="404" t="s">
        <v>87</v>
      </c>
      <c r="S349" s="66" t="s">
        <v>344</v>
      </c>
      <c r="T349" s="66" t="s">
        <v>345</v>
      </c>
      <c r="U349" s="66" t="s">
        <v>346</v>
      </c>
      <c r="V349" s="66" t="s">
        <v>347</v>
      </c>
      <c r="W349" s="408" t="s">
        <v>348</v>
      </c>
      <c r="X349" s="66" t="s">
        <v>349</v>
      </c>
      <c r="Y349" s="66" t="s">
        <v>350</v>
      </c>
      <c r="Z349" s="66" t="s">
        <v>351</v>
      </c>
      <c r="AA349" s="66" t="s">
        <v>352</v>
      </c>
      <c r="AB349" s="408" t="s">
        <v>353</v>
      </c>
      <c r="AC349" s="66" t="s">
        <v>354</v>
      </c>
      <c r="AD349" s="66" t="s">
        <v>355</v>
      </c>
      <c r="AE349" s="66" t="s">
        <v>356</v>
      </c>
      <c r="AF349" s="66" t="s">
        <v>357</v>
      </c>
      <c r="AG349" s="408" t="s">
        <v>358</v>
      </c>
      <c r="AH349" s="66" t="s">
        <v>359</v>
      </c>
      <c r="AI349" s="66" t="s">
        <v>360</v>
      </c>
      <c r="AJ349" s="66" t="s">
        <v>361</v>
      </c>
      <c r="AK349" s="66" t="s">
        <v>362</v>
      </c>
      <c r="AL349" s="408" t="s">
        <v>363</v>
      </c>
      <c r="AM349" s="66" t="s">
        <v>364</v>
      </c>
      <c r="AN349" s="66" t="s">
        <v>365</v>
      </c>
      <c r="AO349" s="66" t="s">
        <v>366</v>
      </c>
      <c r="AP349" s="66" t="s">
        <v>367</v>
      </c>
      <c r="AQ349" s="408" t="s">
        <v>368</v>
      </c>
    </row>
    <row r="350" spans="2:44" ht="17.25" outlineLevel="1" x14ac:dyDescent="0.4">
      <c r="B350" s="536" t="s">
        <v>370</v>
      </c>
      <c r="C350" s="537"/>
      <c r="D350" s="24"/>
      <c r="E350" s="23"/>
      <c r="F350" s="23"/>
      <c r="G350" s="23"/>
      <c r="H350" s="25"/>
      <c r="I350" s="23"/>
      <c r="J350" s="23"/>
      <c r="K350" s="23"/>
      <c r="L350" s="23"/>
      <c r="M350" s="25"/>
      <c r="N350" s="23"/>
      <c r="O350" s="23"/>
      <c r="P350" s="23"/>
      <c r="Q350" s="23"/>
      <c r="R350" s="25"/>
      <c r="S350" s="23"/>
      <c r="T350" s="23"/>
      <c r="U350" s="23"/>
      <c r="V350" s="23"/>
      <c r="W350" s="25"/>
      <c r="X350" s="23"/>
      <c r="Y350" s="23"/>
      <c r="Z350" s="23"/>
      <c r="AA350" s="23"/>
      <c r="AB350" s="25"/>
      <c r="AC350" s="23"/>
      <c r="AD350" s="23"/>
      <c r="AE350" s="23"/>
      <c r="AF350" s="23"/>
      <c r="AG350" s="25"/>
      <c r="AH350" s="23"/>
      <c r="AI350" s="23"/>
      <c r="AJ350" s="23"/>
      <c r="AK350" s="23"/>
      <c r="AL350" s="25"/>
      <c r="AM350" s="23"/>
      <c r="AN350" s="23"/>
      <c r="AO350" s="23"/>
      <c r="AP350" s="23"/>
      <c r="AQ350" s="25"/>
    </row>
    <row r="351" spans="2:44" outlineLevel="1" x14ac:dyDescent="0.25">
      <c r="B351" s="292" t="s">
        <v>369</v>
      </c>
      <c r="C351" s="286"/>
      <c r="D351" s="143">
        <f>D308/(D245+D308)</f>
        <v>4.9601417183348095E-3</v>
      </c>
      <c r="E351" s="143">
        <f>E308/(E245+E308)</f>
        <v>4.9202578893790296E-3</v>
      </c>
      <c r="F351" s="143">
        <f>F308/(F245+F308)</f>
        <v>5.8231868713605082E-3</v>
      </c>
      <c r="G351" s="143">
        <f>G308/(G245+G308)</f>
        <v>4.2564877111080602E-3</v>
      </c>
      <c r="H351" s="308"/>
      <c r="I351" s="143">
        <f>I308/(I245+I308)</f>
        <v>5.3630363036303629E-3</v>
      </c>
      <c r="J351" s="143">
        <f>J308/(J245+J308)</f>
        <v>4.8607461902259591E-3</v>
      </c>
      <c r="K351" s="143">
        <f>K308/(K245+K308)</f>
        <v>5.229985248759555E-3</v>
      </c>
      <c r="L351" s="143">
        <f>L308/(L245+L308)</f>
        <v>2.7559055118110236E-3</v>
      </c>
      <c r="M351" s="308"/>
      <c r="N351" s="143">
        <f>N308/(N245+N308)</f>
        <v>7.4386312918423014E-3</v>
      </c>
      <c r="O351" s="143">
        <f>O308/(O245+O308)</f>
        <v>6.4286534267018712E-3</v>
      </c>
      <c r="P351" s="143">
        <f>P308/(P245+P308)</f>
        <v>6.9857993586807145E-3</v>
      </c>
      <c r="Q351" s="143">
        <f>Q308/(Q245+Q308)</f>
        <v>8.0316610406239095E-3</v>
      </c>
      <c r="R351" s="308"/>
      <c r="S351" s="223"/>
      <c r="T351" s="223"/>
      <c r="U351" s="223"/>
      <c r="V351" s="223"/>
      <c r="W351" s="53"/>
      <c r="X351" s="223"/>
      <c r="Y351" s="223"/>
      <c r="Z351" s="223"/>
      <c r="AA351" s="223"/>
      <c r="AB351" s="53"/>
      <c r="AC351" s="223"/>
      <c r="AD351" s="223"/>
      <c r="AE351" s="223"/>
      <c r="AF351" s="223"/>
      <c r="AG351" s="53"/>
      <c r="AH351" s="223"/>
      <c r="AI351" s="223"/>
      <c r="AJ351" s="223"/>
      <c r="AK351" s="223"/>
      <c r="AL351" s="53"/>
      <c r="AM351" s="223"/>
      <c r="AN351" s="223"/>
      <c r="AO351" s="223"/>
      <c r="AP351" s="223"/>
      <c r="AQ351" s="53"/>
    </row>
    <row r="352" spans="2:44" s="88" customFormat="1" outlineLevel="1" x14ac:dyDescent="0.25">
      <c r="B352" s="287" t="s">
        <v>376</v>
      </c>
      <c r="C352" s="288"/>
      <c r="D352" s="143">
        <f>D309/D13</f>
        <v>4.3163124032901705E-3</v>
      </c>
      <c r="E352" s="143">
        <f>E309/E13</f>
        <v>2.6499638641291254E-3</v>
      </c>
      <c r="F352" s="143">
        <f>F309/F13</f>
        <v>2.2917654496601866E-3</v>
      </c>
      <c r="G352" s="143">
        <f>G309/G13</f>
        <v>2.2343786116033591E-3</v>
      </c>
      <c r="H352" s="308"/>
      <c r="I352" s="143">
        <f>I309/I13</f>
        <v>3.8873354702311943E-3</v>
      </c>
      <c r="J352" s="143">
        <f>J309/J13</f>
        <v>2.4110910186859553E-3</v>
      </c>
      <c r="K352" s="143">
        <f>K309/K13</f>
        <v>2.0004000800160032E-3</v>
      </c>
      <c r="L352" s="143">
        <f>L309/L13</f>
        <v>1.9710071210579856E-3</v>
      </c>
      <c r="M352" s="308"/>
      <c r="N352" s="143">
        <f>N309/N13</f>
        <v>4.0530823037196835E-3</v>
      </c>
      <c r="O352" s="143">
        <f>O309/O13</f>
        <v>2.5133329246613129E-3</v>
      </c>
      <c r="P352" s="143">
        <f>P309/P13</f>
        <v>1.9363427326636814E-3</v>
      </c>
      <c r="Q352" s="143">
        <f>Q309/Q13</f>
        <v>1.848201889920127E-3</v>
      </c>
      <c r="R352" s="308"/>
      <c r="S352" s="223"/>
      <c r="T352" s="223"/>
      <c r="U352" s="223"/>
      <c r="V352" s="223"/>
      <c r="W352" s="308"/>
      <c r="X352" s="223"/>
      <c r="Y352" s="223"/>
      <c r="Z352" s="223"/>
      <c r="AA352" s="223"/>
      <c r="AB352" s="308"/>
      <c r="AC352" s="223"/>
      <c r="AD352" s="223"/>
      <c r="AE352" s="223"/>
      <c r="AF352" s="223"/>
      <c r="AG352" s="308"/>
      <c r="AH352" s="223"/>
      <c r="AI352" s="223"/>
      <c r="AJ352" s="223"/>
      <c r="AK352" s="223"/>
      <c r="AL352" s="308"/>
      <c r="AM352" s="223"/>
      <c r="AN352" s="223"/>
      <c r="AO352" s="223"/>
      <c r="AP352" s="223"/>
      <c r="AQ352" s="308"/>
    </row>
    <row r="353" spans="2:43" s="207" customFormat="1" outlineLevel="1" x14ac:dyDescent="0.25">
      <c r="B353" s="549" t="s">
        <v>72</v>
      </c>
      <c r="C353" s="550"/>
      <c r="D353" s="164"/>
      <c r="E353" s="164"/>
      <c r="F353" s="164"/>
      <c r="G353" s="164"/>
      <c r="H353" s="220"/>
      <c r="I353" s="164">
        <f t="shared" ref="I353:R353" si="133">I320/D320-1</f>
        <v>-0.217566478646253</v>
      </c>
      <c r="J353" s="164">
        <f t="shared" si="133"/>
        <v>0.37180544105523494</v>
      </c>
      <c r="K353" s="164">
        <f t="shared" si="133"/>
        <v>-0.99254843517138602</v>
      </c>
      <c r="L353" s="164">
        <f t="shared" si="133"/>
        <v>0.19508368200836812</v>
      </c>
      <c r="M353" s="220">
        <f t="shared" si="133"/>
        <v>-0.13629992992291518</v>
      </c>
      <c r="N353" s="164">
        <f t="shared" si="133"/>
        <v>-0.39237899073120497</v>
      </c>
      <c r="O353" s="164">
        <f t="shared" si="133"/>
        <v>-0.45432692307692313</v>
      </c>
      <c r="P353" s="164">
        <f t="shared" si="133"/>
        <v>-34.6</v>
      </c>
      <c r="Q353" s="164">
        <f t="shared" si="133"/>
        <v>0.53703535492341214</v>
      </c>
      <c r="R353" s="220">
        <f t="shared" si="133"/>
        <v>-5.1901463286004645E-2</v>
      </c>
      <c r="S353" s="164"/>
      <c r="T353" s="164"/>
      <c r="U353" s="164"/>
      <c r="V353" s="164"/>
      <c r="W353" s="220"/>
      <c r="X353" s="164"/>
      <c r="Y353" s="164"/>
      <c r="Z353" s="164"/>
      <c r="AA353" s="164"/>
      <c r="AB353" s="220"/>
      <c r="AC353" s="164"/>
      <c r="AD353" s="164"/>
      <c r="AE353" s="164"/>
      <c r="AF353" s="164"/>
      <c r="AG353" s="220"/>
      <c r="AH353" s="164"/>
      <c r="AI353" s="164"/>
      <c r="AJ353" s="164"/>
      <c r="AK353" s="164"/>
      <c r="AL353" s="220"/>
      <c r="AM353" s="164"/>
      <c r="AN353" s="164"/>
      <c r="AO353" s="164"/>
      <c r="AP353" s="164"/>
      <c r="AQ353" s="220"/>
    </row>
    <row r="354" spans="2:43" s="30" customFormat="1" outlineLevel="1" x14ac:dyDescent="0.25">
      <c r="B354" s="306" t="s">
        <v>372</v>
      </c>
      <c r="C354" s="406"/>
      <c r="D354" s="143">
        <f t="shared" ref="D354:R354" si="134">-D322/D13</f>
        <v>9.8460786709015397E-2</v>
      </c>
      <c r="E354" s="143">
        <f t="shared" si="134"/>
        <v>0.10864851842929414</v>
      </c>
      <c r="F354" s="143">
        <f t="shared" si="134"/>
        <v>7.9026394815868498E-2</v>
      </c>
      <c r="G354" s="143">
        <f t="shared" si="134"/>
        <v>9.6771708143924801E-2</v>
      </c>
      <c r="H354" s="447">
        <f t="shared" si="134"/>
        <v>9.5661669810384195E-2</v>
      </c>
      <c r="I354" s="143">
        <f t="shared" si="134"/>
        <v>8.2861624497033354E-2</v>
      </c>
      <c r="J354" s="143">
        <f t="shared" si="134"/>
        <v>9.8184984260933625E-2</v>
      </c>
      <c r="K354" s="143">
        <f t="shared" si="134"/>
        <v>7.3948122957924925E-2</v>
      </c>
      <c r="L354" s="143">
        <f t="shared" si="134"/>
        <v>8.4308240081383518E-2</v>
      </c>
      <c r="M354" s="447">
        <f t="shared" si="134"/>
        <v>8.481572970374178E-2</v>
      </c>
      <c r="N354" s="143">
        <f t="shared" si="134"/>
        <v>6.8248676211021764E-2</v>
      </c>
      <c r="O354" s="143">
        <f t="shared" si="134"/>
        <v>9.6671366394899774E-2</v>
      </c>
      <c r="P354" s="143">
        <f t="shared" si="134"/>
        <v>8.3081205373351077E-2</v>
      </c>
      <c r="Q354" s="143">
        <f t="shared" si="134"/>
        <v>9.6395279821146623E-2</v>
      </c>
      <c r="R354" s="447">
        <f t="shared" si="134"/>
        <v>8.6523897883956924E-2</v>
      </c>
      <c r="S354" s="154"/>
      <c r="T354" s="154"/>
      <c r="U354" s="154"/>
      <c r="V354" s="154"/>
      <c r="W354" s="405"/>
      <c r="X354" s="154"/>
      <c r="Y354" s="154"/>
      <c r="Z354" s="154"/>
      <c r="AA354" s="154"/>
      <c r="AB354" s="405"/>
      <c r="AC354" s="154"/>
      <c r="AD354" s="154"/>
      <c r="AE354" s="154"/>
      <c r="AF354" s="154"/>
      <c r="AG354" s="405"/>
      <c r="AH354" s="154"/>
      <c r="AI354" s="154"/>
      <c r="AJ354" s="154"/>
      <c r="AK354" s="154"/>
      <c r="AL354" s="447"/>
      <c r="AM354" s="154"/>
      <c r="AN354" s="154"/>
      <c r="AO354" s="154"/>
      <c r="AP354" s="154"/>
      <c r="AQ354" s="447"/>
    </row>
    <row r="355" spans="2:43" ht="17.25" x14ac:dyDescent="0.4">
      <c r="B355" s="60"/>
      <c r="C355" s="60"/>
      <c r="D355" s="63"/>
      <c r="E355" s="63"/>
      <c r="F355" s="63"/>
      <c r="G355" s="63"/>
      <c r="H355" s="62"/>
      <c r="I355" s="63"/>
      <c r="J355" s="63"/>
      <c r="K355" s="63"/>
      <c r="L355" s="63"/>
      <c r="M355" s="62"/>
      <c r="N355" s="63"/>
      <c r="O355" s="63"/>
      <c r="P355" s="63"/>
      <c r="Q355" s="63"/>
      <c r="R355" s="62"/>
      <c r="S355" s="63"/>
      <c r="T355" s="63"/>
      <c r="U355" s="63"/>
      <c r="V355" s="63"/>
      <c r="W355" s="62"/>
      <c r="X355" s="63"/>
      <c r="Y355" s="63"/>
      <c r="Z355" s="63"/>
      <c r="AA355" s="63"/>
      <c r="AB355" s="62"/>
      <c r="AC355" s="63"/>
      <c r="AD355" s="63"/>
      <c r="AE355" s="63"/>
      <c r="AF355" s="63"/>
      <c r="AG355" s="62"/>
      <c r="AH355" s="63"/>
      <c r="AI355" s="63"/>
      <c r="AJ355" s="63"/>
      <c r="AK355" s="63"/>
      <c r="AL355" s="62"/>
      <c r="AM355" s="63"/>
      <c r="AN355" s="63"/>
      <c r="AO355" s="63"/>
      <c r="AP355" s="63"/>
      <c r="AQ355" s="62"/>
    </row>
    <row r="356" spans="2:43" ht="15.75" x14ac:dyDescent="0.25">
      <c r="B356" s="532" t="s">
        <v>24</v>
      </c>
      <c r="C356" s="533"/>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row>
    <row r="357" spans="2:43" hidden="1" outlineLevel="1" x14ac:dyDescent="0.25">
      <c r="B357" s="253"/>
      <c r="C357" s="470"/>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c r="AL357" s="37"/>
      <c r="AM357" s="37"/>
      <c r="AN357" s="37"/>
      <c r="AO357" s="37"/>
      <c r="AP357" s="37"/>
      <c r="AQ357" s="37"/>
    </row>
    <row r="358" spans="2:43" hidden="1" outlineLevel="1" x14ac:dyDescent="0.25">
      <c r="B358" s="253"/>
      <c r="C358" s="471"/>
      <c r="D358" s="43"/>
      <c r="E358" s="43"/>
      <c r="F358" s="44"/>
      <c r="G358" s="44"/>
      <c r="H358" s="44"/>
      <c r="I358" s="43"/>
      <c r="J358" s="43"/>
      <c r="K358" s="44"/>
      <c r="L358" s="44"/>
      <c r="M358" s="44"/>
      <c r="N358" s="43"/>
      <c r="O358" s="43"/>
      <c r="P358" s="44"/>
      <c r="Q358" s="44"/>
      <c r="R358" s="44"/>
      <c r="S358" s="43"/>
      <c r="T358" s="43"/>
    </row>
    <row r="359" spans="2:43" hidden="1" outlineLevel="1" x14ac:dyDescent="0.25">
      <c r="B359" s="253"/>
      <c r="C359" s="471"/>
      <c r="D359" s="43"/>
      <c r="E359" s="43"/>
      <c r="F359" s="44"/>
      <c r="G359" s="44"/>
      <c r="H359" s="44"/>
      <c r="I359" s="43"/>
      <c r="J359" s="43"/>
      <c r="K359" s="44"/>
      <c r="L359" s="44"/>
      <c r="M359" s="44"/>
      <c r="N359" s="43"/>
      <c r="O359" s="43"/>
      <c r="P359" s="44"/>
      <c r="Q359" s="44"/>
      <c r="R359" s="44"/>
      <c r="S359" s="43"/>
      <c r="T359" s="43"/>
    </row>
    <row r="360" spans="2:43" hidden="1" outlineLevel="1" x14ac:dyDescent="0.25">
      <c r="B360" s="253"/>
      <c r="C360" s="468"/>
      <c r="D360" s="43"/>
      <c r="E360" s="43"/>
      <c r="F360" s="44"/>
      <c r="G360" s="44"/>
      <c r="H360" s="44"/>
      <c r="I360" s="43"/>
      <c r="J360" s="43"/>
      <c r="K360" s="44"/>
      <c r="L360" s="44"/>
      <c r="M360" s="44"/>
      <c r="N360" s="43"/>
      <c r="O360" s="43"/>
      <c r="P360" s="44"/>
      <c r="Q360" s="44"/>
      <c r="R360" s="44"/>
      <c r="S360" s="43"/>
      <c r="T360" s="43"/>
    </row>
    <row r="361" spans="2:43" hidden="1" outlineLevel="1" x14ac:dyDescent="0.25">
      <c r="B361" s="258"/>
      <c r="C361" s="472"/>
      <c r="D361" s="45"/>
      <c r="E361" s="45"/>
      <c r="F361" s="45"/>
      <c r="G361" s="45"/>
      <c r="H361" s="46"/>
      <c r="I361" s="45"/>
      <c r="J361" s="45"/>
      <c r="K361" s="45"/>
      <c r="L361" s="45"/>
      <c r="M361" s="46"/>
      <c r="N361" s="45"/>
      <c r="O361" s="45"/>
      <c r="P361" s="45"/>
      <c r="Q361" s="45"/>
      <c r="R361" s="46"/>
      <c r="S361" s="45"/>
      <c r="T361" s="45"/>
      <c r="U361" s="45"/>
      <c r="V361" s="45"/>
      <c r="W361" s="46"/>
      <c r="X361" s="45"/>
      <c r="Y361" s="45"/>
      <c r="Z361" s="45"/>
      <c r="AA361" s="45"/>
      <c r="AB361" s="46"/>
      <c r="AC361" s="45"/>
      <c r="AD361" s="45"/>
      <c r="AE361" s="45"/>
      <c r="AF361" s="45"/>
      <c r="AG361" s="46"/>
      <c r="AH361" s="45"/>
      <c r="AI361" s="45"/>
      <c r="AJ361" s="45"/>
      <c r="AK361" s="45"/>
      <c r="AL361" s="46"/>
      <c r="AM361" s="45"/>
      <c r="AN361" s="45"/>
      <c r="AO361" s="45"/>
      <c r="AP361" s="45"/>
      <c r="AQ361" s="46"/>
    </row>
    <row r="362" spans="2:43" hidden="1" outlineLevel="1" x14ac:dyDescent="0.25">
      <c r="B362" s="258"/>
      <c r="C362" s="472"/>
      <c r="D362" s="45"/>
      <c r="E362" s="45"/>
      <c r="F362" s="45"/>
      <c r="G362" s="45"/>
      <c r="H362" s="46"/>
      <c r="I362" s="45"/>
      <c r="J362" s="45"/>
      <c r="K362" s="45"/>
      <c r="L362" s="45"/>
      <c r="M362" s="46"/>
      <c r="N362" s="45"/>
      <c r="O362" s="45"/>
      <c r="P362" s="45"/>
      <c r="Q362" s="45"/>
      <c r="R362" s="46"/>
      <c r="S362" s="45"/>
      <c r="T362" s="45"/>
      <c r="U362" s="45"/>
      <c r="V362" s="45"/>
      <c r="W362" s="46"/>
      <c r="X362" s="45"/>
      <c r="Y362" s="45"/>
      <c r="Z362" s="45"/>
      <c r="AA362" s="45"/>
      <c r="AB362" s="46"/>
      <c r="AC362" s="45"/>
      <c r="AD362" s="45"/>
      <c r="AE362" s="45"/>
      <c r="AF362" s="45"/>
      <c r="AG362" s="46"/>
      <c r="AH362" s="45"/>
      <c r="AI362" s="45"/>
      <c r="AJ362" s="45"/>
      <c r="AK362" s="45"/>
      <c r="AL362" s="46"/>
      <c r="AM362" s="45"/>
      <c r="AN362" s="45"/>
      <c r="AO362" s="45"/>
      <c r="AP362" s="45"/>
      <c r="AQ362" s="46"/>
    </row>
    <row r="363" spans="2:43" ht="17.25" hidden="1" outlineLevel="1" x14ac:dyDescent="0.4">
      <c r="B363" s="258"/>
      <c r="C363" s="259"/>
      <c r="D363" s="45"/>
      <c r="E363" s="45"/>
      <c r="F363" s="45"/>
      <c r="G363" s="45"/>
      <c r="H363" s="46"/>
      <c r="I363" s="45"/>
      <c r="J363" s="45"/>
      <c r="K363" s="45"/>
      <c r="L363" s="45"/>
      <c r="M363" s="46"/>
      <c r="N363" s="45"/>
      <c r="O363" s="45"/>
      <c r="P363" s="45"/>
      <c r="Q363" s="45"/>
      <c r="R363" s="46"/>
      <c r="S363" s="45"/>
      <c r="T363" s="45"/>
      <c r="U363" s="45"/>
      <c r="V363" s="45"/>
      <c r="W363" s="46"/>
      <c r="X363" s="45"/>
      <c r="Y363" s="45"/>
      <c r="Z363" s="45"/>
      <c r="AA363" s="45"/>
      <c r="AB363" s="46"/>
      <c r="AC363" s="45"/>
      <c r="AD363" s="45"/>
      <c r="AE363" s="45"/>
      <c r="AF363" s="45"/>
      <c r="AG363" s="46"/>
      <c r="AH363" s="45"/>
      <c r="AI363" s="45"/>
      <c r="AJ363" s="45"/>
      <c r="AK363" s="45"/>
      <c r="AL363" s="46"/>
      <c r="AM363" s="45"/>
      <c r="AN363" s="45"/>
      <c r="AO363" s="45"/>
      <c r="AP363" s="45"/>
      <c r="AQ363" s="46"/>
    </row>
    <row r="364" spans="2:43" hidden="1" outlineLevel="1" x14ac:dyDescent="0.25">
      <c r="B364" s="469"/>
      <c r="C364" s="473"/>
      <c r="D364" s="43"/>
      <c r="E364" s="43"/>
      <c r="F364" s="44"/>
      <c r="G364" s="44"/>
      <c r="H364" s="44"/>
      <c r="I364" s="43"/>
      <c r="J364" s="43"/>
      <c r="K364" s="44"/>
      <c r="L364" s="44"/>
      <c r="M364" s="44"/>
      <c r="N364" s="43"/>
      <c r="O364" s="43"/>
      <c r="P364" s="44"/>
      <c r="Q364" s="44"/>
      <c r="R364" s="44"/>
      <c r="S364" s="43"/>
      <c r="T364" s="43"/>
    </row>
    <row r="365" spans="2:43" ht="122.25" hidden="1" customHeight="1" outlineLevel="1" x14ac:dyDescent="0.25">
      <c r="B365" s="604"/>
      <c r="C365" s="605"/>
      <c r="D365" s="43"/>
      <c r="E365" s="43"/>
      <c r="F365" s="44"/>
      <c r="G365" s="44"/>
      <c r="H365" s="44"/>
      <c r="I365" s="47"/>
      <c r="J365" s="43"/>
      <c r="K365" s="44"/>
      <c r="L365" s="44"/>
      <c r="M365" s="44"/>
      <c r="N365" s="43"/>
      <c r="O365" s="43"/>
      <c r="P365" s="44"/>
      <c r="Q365" s="44"/>
      <c r="R365" s="44"/>
      <c r="S365" s="43"/>
      <c r="T365" s="43"/>
    </row>
    <row r="366" spans="2:43" ht="69.75" hidden="1" customHeight="1" outlineLevel="1" x14ac:dyDescent="0.25">
      <c r="B366" s="606"/>
      <c r="C366" s="607"/>
      <c r="D366" s="43"/>
      <c r="E366" s="43"/>
      <c r="F366" s="44"/>
      <c r="G366" s="44"/>
      <c r="H366" s="44"/>
      <c r="I366" s="47"/>
      <c r="J366" s="43"/>
      <c r="K366" s="44"/>
      <c r="L366" s="44"/>
      <c r="M366" s="44"/>
      <c r="N366" s="43"/>
      <c r="O366" s="43"/>
      <c r="P366" s="44"/>
      <c r="Q366" s="44"/>
      <c r="R366" s="44"/>
      <c r="S366" s="43"/>
      <c r="T366" s="43"/>
    </row>
    <row r="367" spans="2:43" ht="17.25" customHeight="1" collapsed="1" x14ac:dyDescent="0.25">
      <c r="C367" s="1"/>
    </row>
    <row r="368" spans="2:43" ht="15.75" x14ac:dyDescent="0.25">
      <c r="B368" s="532" t="s">
        <v>33</v>
      </c>
      <c r="C368" s="533"/>
    </row>
    <row r="369" spans="2:3" hidden="1" outlineLevel="1" x14ac:dyDescent="0.25">
      <c r="B369" s="427"/>
      <c r="C369" s="64"/>
    </row>
    <row r="370" spans="2:3" hidden="1" outlineLevel="1" x14ac:dyDescent="0.25">
      <c r="B370" s="428"/>
      <c r="C370" s="429"/>
    </row>
    <row r="371" spans="2:3" ht="17.25" hidden="1" outlineLevel="1" x14ac:dyDescent="0.4">
      <c r="B371" s="428"/>
      <c r="C371" s="446"/>
    </row>
    <row r="372" spans="2:3" hidden="1" outlineLevel="1" x14ac:dyDescent="0.25">
      <c r="B372" s="439"/>
      <c r="C372" s="430"/>
    </row>
    <row r="373" spans="2:3" hidden="1" outlineLevel="1" x14ac:dyDescent="0.25">
      <c r="B373" s="431"/>
      <c r="C373" s="432"/>
    </row>
    <row r="374" spans="2:3" hidden="1" outlineLevel="1" x14ac:dyDescent="0.25">
      <c r="B374" s="431"/>
      <c r="C374" s="433"/>
    </row>
    <row r="375" spans="2:3" hidden="1" outlineLevel="1" x14ac:dyDescent="0.25">
      <c r="B375" s="431"/>
      <c r="C375" s="434"/>
    </row>
    <row r="376" spans="2:3" hidden="1" outlineLevel="1" x14ac:dyDescent="0.25">
      <c r="B376" s="440"/>
      <c r="C376" s="435"/>
    </row>
    <row r="377" spans="2:3" hidden="1" outlineLevel="1" x14ac:dyDescent="0.25">
      <c r="B377" s="431"/>
      <c r="C377" s="436"/>
    </row>
    <row r="378" spans="2:3" hidden="1" outlineLevel="1" x14ac:dyDescent="0.25">
      <c r="B378" s="439"/>
      <c r="C378" s="442"/>
    </row>
    <row r="379" spans="2:3" hidden="1" outlineLevel="1" x14ac:dyDescent="0.25">
      <c r="B379" s="253"/>
      <c r="C379" s="437"/>
    </row>
    <row r="380" spans="2:3" hidden="1" outlineLevel="1" x14ac:dyDescent="0.25">
      <c r="B380" s="253"/>
      <c r="C380" s="437"/>
    </row>
    <row r="381" spans="2:3" hidden="1" outlineLevel="1" x14ac:dyDescent="0.25">
      <c r="B381" s="253"/>
      <c r="C381" s="254"/>
    </row>
    <row r="382" spans="2:3" hidden="1" outlineLevel="1" x14ac:dyDescent="0.25">
      <c r="B382" s="253"/>
      <c r="C382" s="437"/>
    </row>
    <row r="383" spans="2:3" hidden="1" outlineLevel="1" x14ac:dyDescent="0.25">
      <c r="B383" s="441"/>
      <c r="C383" s="438"/>
    </row>
    <row r="384" spans="2:3" hidden="1" outlineLevel="1" x14ac:dyDescent="0.25">
      <c r="B384" s="444"/>
      <c r="C384" s="445"/>
    </row>
    <row r="385" spans="2:3" hidden="1" outlineLevel="1" x14ac:dyDescent="0.25">
      <c r="B385" s="258"/>
      <c r="C385" s="443"/>
    </row>
    <row r="386" spans="2:3" hidden="1" outlineLevel="1" x14ac:dyDescent="0.25">
      <c r="B386" s="258"/>
      <c r="C386" s="443"/>
    </row>
    <row r="387" spans="2:3" hidden="1" outlineLevel="1" x14ac:dyDescent="0.25">
      <c r="B387" s="258"/>
      <c r="C387" s="443"/>
    </row>
    <row r="388" spans="2:3" hidden="1" outlineLevel="1" x14ac:dyDescent="0.25">
      <c r="B388" s="258"/>
      <c r="C388" s="443"/>
    </row>
    <row r="389" spans="2:3" hidden="1" outlineLevel="1" x14ac:dyDescent="0.25">
      <c r="B389" s="444"/>
      <c r="C389" s="64"/>
    </row>
    <row r="390" spans="2:3" hidden="1" outlineLevel="1" x14ac:dyDescent="0.25">
      <c r="B390" s="258"/>
      <c r="C390" s="455"/>
    </row>
    <row r="391" spans="2:3" hidden="1" outlineLevel="1" x14ac:dyDescent="0.25">
      <c r="B391" s="258"/>
      <c r="C391" s="456"/>
    </row>
    <row r="392" spans="2:3" ht="17.25" hidden="1" outlineLevel="1" x14ac:dyDescent="0.4">
      <c r="B392" s="258"/>
      <c r="C392" s="457"/>
    </row>
    <row r="393" spans="2:3" hidden="1" outlineLevel="1" x14ac:dyDescent="0.25">
      <c r="B393" s="458"/>
      <c r="C393" s="459"/>
    </row>
    <row r="394" spans="2:3" ht="146.44999999999999" hidden="1" customHeight="1" outlineLevel="1" x14ac:dyDescent="0.25">
      <c r="B394" s="602"/>
      <c r="C394" s="603"/>
    </row>
    <row r="395" spans="2:3" ht="102" hidden="1" customHeight="1" outlineLevel="1" x14ac:dyDescent="0.25">
      <c r="B395" s="593"/>
      <c r="C395" s="594"/>
    </row>
    <row r="396" spans="2:3" ht="91.15" hidden="1" customHeight="1" outlineLevel="1" x14ac:dyDescent="0.25">
      <c r="B396" s="595"/>
      <c r="C396" s="596"/>
    </row>
    <row r="397" spans="2:3" ht="72.599999999999994" hidden="1" customHeight="1" outlineLevel="1" x14ac:dyDescent="0.25">
      <c r="B397" s="595"/>
      <c r="C397" s="596"/>
    </row>
    <row r="398" spans="2:3" ht="90.6" hidden="1" customHeight="1" outlineLevel="1" x14ac:dyDescent="0.25">
      <c r="B398" s="600"/>
      <c r="C398" s="601"/>
    </row>
    <row r="399" spans="2:3" ht="19.5" customHeight="1" collapsed="1" x14ac:dyDescent="0.25">
      <c r="C399" s="65"/>
    </row>
    <row r="400" spans="2:3" ht="15.75" x14ac:dyDescent="0.25">
      <c r="B400" s="532" t="s">
        <v>76</v>
      </c>
      <c r="C400" s="533"/>
    </row>
    <row r="401" spans="2:3" hidden="1" outlineLevel="1" x14ac:dyDescent="0.25">
      <c r="B401" s="478"/>
      <c r="C401" s="482"/>
    </row>
    <row r="402" spans="2:3" hidden="1" outlineLevel="1" x14ac:dyDescent="0.25">
      <c r="B402" s="258"/>
      <c r="C402" s="483"/>
    </row>
    <row r="403" spans="2:3" hidden="1" outlineLevel="1" x14ac:dyDescent="0.25">
      <c r="B403" s="258"/>
      <c r="C403" s="484"/>
    </row>
    <row r="404" spans="2:3" hidden="1" outlineLevel="1" x14ac:dyDescent="0.25">
      <c r="B404" s="253"/>
      <c r="C404" s="479"/>
    </row>
    <row r="405" spans="2:3" hidden="1" outlineLevel="1" x14ac:dyDescent="0.25">
      <c r="B405" s="480"/>
      <c r="C405" s="481"/>
    </row>
    <row r="406" spans="2:3" hidden="1" outlineLevel="1" x14ac:dyDescent="0.25">
      <c r="B406" s="595"/>
      <c r="C406" s="596"/>
    </row>
    <row r="407" spans="2:3" hidden="1" outlineLevel="1" x14ac:dyDescent="0.25">
      <c r="B407" s="595"/>
      <c r="C407" s="596"/>
    </row>
    <row r="408" spans="2:3" hidden="1" outlineLevel="1" x14ac:dyDescent="0.25">
      <c r="B408" s="595"/>
      <c r="C408" s="596"/>
    </row>
    <row r="409" spans="2:3" hidden="1" outlineLevel="1" x14ac:dyDescent="0.25">
      <c r="B409" s="595"/>
      <c r="C409" s="596"/>
    </row>
    <row r="410" spans="2:3" hidden="1" outlineLevel="1" x14ac:dyDescent="0.25">
      <c r="B410" s="595"/>
      <c r="C410" s="596"/>
    </row>
    <row r="411" spans="2:3" hidden="1" outlineLevel="1" x14ac:dyDescent="0.25">
      <c r="B411" s="595"/>
      <c r="C411" s="596"/>
    </row>
    <row r="412" spans="2:3" hidden="1" outlineLevel="1" x14ac:dyDescent="0.25">
      <c r="B412" s="595"/>
      <c r="C412" s="596"/>
    </row>
    <row r="413" spans="2:3" hidden="1" outlineLevel="1" x14ac:dyDescent="0.25">
      <c r="B413" s="595"/>
      <c r="C413" s="596"/>
    </row>
    <row r="414" spans="2:3" hidden="1" outlineLevel="1" x14ac:dyDescent="0.25">
      <c r="B414" s="595"/>
      <c r="C414" s="596"/>
    </row>
    <row r="415" spans="2:3" hidden="1" outlineLevel="1" x14ac:dyDescent="0.25">
      <c r="B415" s="595"/>
      <c r="C415" s="596"/>
    </row>
    <row r="416" spans="2:3" hidden="1" outlineLevel="1" x14ac:dyDescent="0.25">
      <c r="B416" s="595"/>
      <c r="C416" s="596"/>
    </row>
    <row r="417" spans="2:10" hidden="1" outlineLevel="1" x14ac:dyDescent="0.25">
      <c r="B417" s="595"/>
      <c r="C417" s="596"/>
    </row>
    <row r="418" spans="2:10" hidden="1" outlineLevel="1" x14ac:dyDescent="0.25">
      <c r="B418" s="595"/>
      <c r="C418" s="596"/>
    </row>
    <row r="419" spans="2:10" ht="16.5" hidden="1" customHeight="1" outlineLevel="1" x14ac:dyDescent="0.25">
      <c r="B419" s="595"/>
      <c r="C419" s="596"/>
    </row>
    <row r="420" spans="2:10" ht="16.5" hidden="1" customHeight="1" outlineLevel="1" x14ac:dyDescent="0.25">
      <c r="B420" s="595"/>
      <c r="C420" s="596"/>
    </row>
    <row r="421" spans="2:10" ht="16.5" hidden="1" customHeight="1" outlineLevel="1" x14ac:dyDescent="0.25">
      <c r="B421" s="600"/>
      <c r="C421" s="601"/>
    </row>
    <row r="422" spans="2:10" ht="16.5" customHeight="1" collapsed="1" x14ac:dyDescent="0.25"/>
    <row r="423" spans="2:10" ht="15.75" x14ac:dyDescent="0.25">
      <c r="B423" s="532" t="s">
        <v>380</v>
      </c>
      <c r="C423" s="533"/>
      <c r="D423" s="524"/>
      <c r="E423" s="525"/>
      <c r="F423" s="525"/>
      <c r="G423" s="525"/>
      <c r="H423" s="525"/>
      <c r="I423" s="525"/>
      <c r="J423" s="526"/>
    </row>
    <row r="424" spans="2:10" ht="15.75" hidden="1" outlineLevel="1" thickBot="1" x14ac:dyDescent="0.3">
      <c r="B424" s="3"/>
      <c r="C424" s="512"/>
      <c r="D424" s="527"/>
      <c r="E424" s="527"/>
      <c r="F424" s="527"/>
      <c r="G424" s="528"/>
      <c r="H424" s="527"/>
      <c r="I424" s="527"/>
      <c r="J424" s="529"/>
    </row>
    <row r="425" spans="2:10" ht="15.75" hidden="1" outlineLevel="1" thickBot="1" x14ac:dyDescent="0.3">
      <c r="B425" s="3"/>
      <c r="C425" s="513"/>
      <c r="D425" s="488"/>
      <c r="E425" s="489"/>
      <c r="F425" s="490"/>
      <c r="G425" s="494"/>
      <c r="H425" s="493"/>
      <c r="I425" s="490"/>
      <c r="J425" s="514"/>
    </row>
    <row r="426" spans="2:10" hidden="1" outlineLevel="1" x14ac:dyDescent="0.25">
      <c r="B426" s="530"/>
      <c r="C426" s="486"/>
      <c r="D426" s="496"/>
      <c r="E426" s="497"/>
      <c r="F426" s="498"/>
      <c r="G426" s="499"/>
      <c r="H426" s="498"/>
      <c r="I426" s="500"/>
      <c r="J426" s="515"/>
    </row>
    <row r="427" spans="2:10" hidden="1" outlineLevel="1" x14ac:dyDescent="0.25">
      <c r="B427" s="530"/>
      <c r="C427" s="491"/>
      <c r="D427" s="496"/>
      <c r="E427" s="497"/>
      <c r="F427" s="498"/>
      <c r="G427" s="501"/>
      <c r="H427" s="498"/>
      <c r="I427" s="500"/>
      <c r="J427" s="515"/>
    </row>
    <row r="428" spans="2:10" ht="15.75" hidden="1" outlineLevel="1" thickBot="1" x14ac:dyDescent="0.3">
      <c r="B428" s="530"/>
      <c r="C428" s="492"/>
      <c r="D428" s="496"/>
      <c r="E428" s="497"/>
      <c r="F428" s="498"/>
      <c r="G428" s="501"/>
      <c r="H428" s="498"/>
      <c r="I428" s="500"/>
      <c r="J428" s="515"/>
    </row>
    <row r="429" spans="2:10" ht="15.75" hidden="1" outlineLevel="1" thickBot="1" x14ac:dyDescent="0.3">
      <c r="B429" s="531"/>
      <c r="C429" s="495"/>
      <c r="D429" s="497"/>
      <c r="E429" s="502"/>
      <c r="F429" s="500"/>
      <c r="G429" s="503"/>
      <c r="H429" s="497"/>
      <c r="I429" s="502"/>
      <c r="J429" s="515"/>
    </row>
    <row r="430" spans="2:10" hidden="1" outlineLevel="1" x14ac:dyDescent="0.25">
      <c r="B430" s="530"/>
      <c r="C430" s="491"/>
      <c r="D430" s="496"/>
      <c r="E430" s="497"/>
      <c r="F430" s="498"/>
      <c r="G430" s="499"/>
      <c r="H430" s="498"/>
      <c r="I430" s="500"/>
      <c r="J430" s="515"/>
    </row>
    <row r="431" spans="2:10" hidden="1" outlineLevel="1" x14ac:dyDescent="0.25">
      <c r="B431" s="530"/>
      <c r="C431" s="492"/>
      <c r="D431" s="504"/>
      <c r="E431" s="505"/>
      <c r="F431" s="501"/>
      <c r="G431" s="506"/>
      <c r="H431" s="501"/>
      <c r="I431" s="507"/>
      <c r="J431" s="516"/>
    </row>
    <row r="432" spans="2:10" hidden="1" outlineLevel="1" x14ac:dyDescent="0.25">
      <c r="B432" s="530"/>
      <c r="C432" s="487"/>
      <c r="D432" s="508"/>
      <c r="E432" s="509"/>
      <c r="F432" s="510"/>
      <c r="G432" s="510"/>
      <c r="H432" s="510"/>
      <c r="I432" s="511"/>
      <c r="J432" s="517"/>
    </row>
    <row r="433" collapsed="1" x14ac:dyDescent="0.25"/>
  </sheetData>
  <dataConsolidate/>
  <mergeCells count="145">
    <mergeCell ref="B322:C322"/>
    <mergeCell ref="B323:C323"/>
    <mergeCell ref="B368:C368"/>
    <mergeCell ref="B321:C321"/>
    <mergeCell ref="B255:C255"/>
    <mergeCell ref="B324:C324"/>
    <mergeCell ref="A11:A12"/>
    <mergeCell ref="B50:C50"/>
    <mergeCell ref="B133:C133"/>
    <mergeCell ref="B326:C326"/>
    <mergeCell ref="B325:C325"/>
    <mergeCell ref="B305:C305"/>
    <mergeCell ref="B306:C306"/>
    <mergeCell ref="B307:C307"/>
    <mergeCell ref="B309:C309"/>
    <mergeCell ref="B310:C310"/>
    <mergeCell ref="B262:C262"/>
    <mergeCell ref="B258:C258"/>
    <mergeCell ref="B287:C287"/>
    <mergeCell ref="B284:C284"/>
    <mergeCell ref="B226:C226"/>
    <mergeCell ref="B225:C225"/>
    <mergeCell ref="B221:C221"/>
    <mergeCell ref="B286:C286"/>
    <mergeCell ref="B400:C400"/>
    <mergeCell ref="B406:C421"/>
    <mergeCell ref="B394:C394"/>
    <mergeCell ref="B365:C365"/>
    <mergeCell ref="B366:C366"/>
    <mergeCell ref="B327:C327"/>
    <mergeCell ref="B329:C329"/>
    <mergeCell ref="B332:C332"/>
    <mergeCell ref="B331:C331"/>
    <mergeCell ref="B330:C330"/>
    <mergeCell ref="B398:C398"/>
    <mergeCell ref="B2:C2"/>
    <mergeCell ref="B395:C395"/>
    <mergeCell ref="B396:C396"/>
    <mergeCell ref="B397:C397"/>
    <mergeCell ref="B337:C337"/>
    <mergeCell ref="B335:C335"/>
    <mergeCell ref="B334:C334"/>
    <mergeCell ref="B353:C353"/>
    <mergeCell ref="B297:C297"/>
    <mergeCell ref="B350:C350"/>
    <mergeCell ref="B349:C349"/>
    <mergeCell ref="B348:C348"/>
    <mergeCell ref="B347:C347"/>
    <mergeCell ref="B342:C342"/>
    <mergeCell ref="B340:C340"/>
    <mergeCell ref="B78:C78"/>
    <mergeCell ref="B346:C346"/>
    <mergeCell ref="B339:C339"/>
    <mergeCell ref="B338:C338"/>
    <mergeCell ref="B356:C356"/>
    <mergeCell ref="B229:C229"/>
    <mergeCell ref="B228:C228"/>
    <mergeCell ref="B227:C227"/>
    <mergeCell ref="B217:C217"/>
    <mergeCell ref="B222:C222"/>
    <mergeCell ref="B224:C224"/>
    <mergeCell ref="B248:C248"/>
    <mergeCell ref="B247:C247"/>
    <mergeCell ref="B245:C245"/>
    <mergeCell ref="B253:C253"/>
    <mergeCell ref="B254:C254"/>
    <mergeCell ref="B256:C256"/>
    <mergeCell ref="B272:C272"/>
    <mergeCell ref="B271:C271"/>
    <mergeCell ref="B270:C270"/>
    <mergeCell ref="B230:C230"/>
    <mergeCell ref="B231:C231"/>
    <mergeCell ref="B232:C232"/>
    <mergeCell ref="B239:C239"/>
    <mergeCell ref="B261:C261"/>
    <mergeCell ref="B260:C260"/>
    <mergeCell ref="B298:C298"/>
    <mergeCell ref="B294:C294"/>
    <mergeCell ref="B293:C293"/>
    <mergeCell ref="B290:C290"/>
    <mergeCell ref="B289:C289"/>
    <mergeCell ref="B269:C269"/>
    <mergeCell ref="B263:C263"/>
    <mergeCell ref="B283:C283"/>
    <mergeCell ref="B281:C281"/>
    <mergeCell ref="B276:C276"/>
    <mergeCell ref="B274:C274"/>
    <mergeCell ref="B273:C273"/>
    <mergeCell ref="B3:C3"/>
    <mergeCell ref="B4:C4"/>
    <mergeCell ref="B5:C5"/>
    <mergeCell ref="B11:C11"/>
    <mergeCell ref="B12:C12"/>
    <mergeCell ref="B45:C45"/>
    <mergeCell ref="B43:C43"/>
    <mergeCell ref="B42:C42"/>
    <mergeCell ref="B41:C41"/>
    <mergeCell ref="B40:C40"/>
    <mergeCell ref="B37:C37"/>
    <mergeCell ref="B13:C13"/>
    <mergeCell ref="B29:C29"/>
    <mergeCell ref="B36:C36"/>
    <mergeCell ref="B34:C34"/>
    <mergeCell ref="B32:C32"/>
    <mergeCell ref="B48:C48"/>
    <mergeCell ref="B96:C96"/>
    <mergeCell ref="B84:C84"/>
    <mergeCell ref="B71:C71"/>
    <mergeCell ref="B184:C184"/>
    <mergeCell ref="B150:C150"/>
    <mergeCell ref="B167:C167"/>
    <mergeCell ref="B135:C135"/>
    <mergeCell ref="B90:C90"/>
    <mergeCell ref="B102:C102"/>
    <mergeCell ref="B108:C108"/>
    <mergeCell ref="B114:C114"/>
    <mergeCell ref="B120:C120"/>
    <mergeCell ref="B126:C126"/>
    <mergeCell ref="B177:C177"/>
    <mergeCell ref="B131:C131"/>
    <mergeCell ref="B173:C173"/>
    <mergeCell ref="D423:J423"/>
    <mergeCell ref="D424:J424"/>
    <mergeCell ref="B426:B432"/>
    <mergeCell ref="B423:C423"/>
    <mergeCell ref="B214:C214"/>
    <mergeCell ref="B72:C72"/>
    <mergeCell ref="B216:C216"/>
    <mergeCell ref="B215:C215"/>
    <mergeCell ref="B49:C49"/>
    <mergeCell ref="B191:C191"/>
    <mergeCell ref="B189:C189"/>
    <mergeCell ref="B210:C210"/>
    <mergeCell ref="B301:C301"/>
    <mergeCell ref="B244:C244"/>
    <mergeCell ref="B243:C243"/>
    <mergeCell ref="B241:C241"/>
    <mergeCell ref="B313:C313"/>
    <mergeCell ref="B320:C320"/>
    <mergeCell ref="B319:C319"/>
    <mergeCell ref="B318:C318"/>
    <mergeCell ref="B316:C316"/>
    <mergeCell ref="B315:C315"/>
    <mergeCell ref="B314:C314"/>
    <mergeCell ref="B303:C303"/>
  </mergeCells>
  <conditionalFormatting sqref="AM183:AP183">
    <cfRule type="cellIs" dxfId="59" priority="57" operator="lessThan">
      <formula>-2</formula>
    </cfRule>
    <cfRule type="cellIs" dxfId="58" priority="58" operator="greaterThan">
      <formula>2</formula>
    </cfRule>
  </conditionalFormatting>
  <conditionalFormatting sqref="S180:V181">
    <cfRule type="cellIs" dxfId="57" priority="79" operator="lessThan">
      <formula>-2</formula>
    </cfRule>
    <cfRule type="cellIs" dxfId="56" priority="80" operator="greaterThan">
      <formula>2</formula>
    </cfRule>
  </conditionalFormatting>
  <conditionalFormatting sqref="S183:V183">
    <cfRule type="cellIs" dxfId="55" priority="81" operator="lessThan">
      <formula>-2</formula>
    </cfRule>
    <cfRule type="cellIs" dxfId="54" priority="82" operator="greaterThan">
      <formula>2</formula>
    </cfRule>
  </conditionalFormatting>
  <conditionalFormatting sqref="N183:Q183">
    <cfRule type="cellIs" dxfId="53" priority="77" operator="lessThan">
      <formula>-2</formula>
    </cfRule>
    <cfRule type="cellIs" dxfId="52" priority="78" operator="greaterThan">
      <formula>2</formula>
    </cfRule>
  </conditionalFormatting>
  <conditionalFormatting sqref="N180:Q181">
    <cfRule type="cellIs" dxfId="51" priority="75" operator="lessThan">
      <formula>-2</formula>
    </cfRule>
    <cfRule type="cellIs" dxfId="50" priority="76" operator="greaterThan">
      <formula>2</formula>
    </cfRule>
  </conditionalFormatting>
  <conditionalFormatting sqref="I180:L182">
    <cfRule type="cellIs" dxfId="49" priority="71" operator="lessThan">
      <formula>-2</formula>
    </cfRule>
    <cfRule type="cellIs" dxfId="48" priority="72" operator="greaterThan">
      <formula>2</formula>
    </cfRule>
  </conditionalFormatting>
  <conditionalFormatting sqref="D179:G181">
    <cfRule type="cellIs" dxfId="47" priority="67" operator="lessThan">
      <formula>-2</formula>
    </cfRule>
    <cfRule type="cellIs" dxfId="46" priority="68" operator="greaterThan">
      <formula>2</formula>
    </cfRule>
  </conditionalFormatting>
  <conditionalFormatting sqref="AC183:AF183">
    <cfRule type="cellIs" dxfId="45" priority="65" operator="lessThan">
      <formula>-2</formula>
    </cfRule>
    <cfRule type="cellIs" dxfId="44" priority="66" operator="greaterThan">
      <formula>2</formula>
    </cfRule>
  </conditionalFormatting>
  <conditionalFormatting sqref="AC180:AF181">
    <cfRule type="cellIs" dxfId="43" priority="63" operator="lessThan">
      <formula>-2</formula>
    </cfRule>
    <cfRule type="cellIs" dxfId="42" priority="64" operator="greaterThan">
      <formula>2</formula>
    </cfRule>
  </conditionalFormatting>
  <conditionalFormatting sqref="AH183:AK183">
    <cfRule type="cellIs" dxfId="41" priority="61" operator="lessThan">
      <formula>-2</formula>
    </cfRule>
    <cfRule type="cellIs" dxfId="40" priority="62" operator="greaterThan">
      <formula>2</formula>
    </cfRule>
  </conditionalFormatting>
  <conditionalFormatting sqref="AH180:AK181">
    <cfRule type="cellIs" dxfId="39" priority="59" operator="lessThan">
      <formula>-2</formula>
    </cfRule>
    <cfRule type="cellIs" dxfId="38" priority="60" operator="greaterThan">
      <formula>2</formula>
    </cfRule>
  </conditionalFormatting>
  <conditionalFormatting sqref="AM180:AP181">
    <cfRule type="cellIs" dxfId="37" priority="55" operator="lessThan">
      <formula>-2</formula>
    </cfRule>
    <cfRule type="cellIs" dxfId="36" priority="56" operator="greaterThan">
      <formula>2</formula>
    </cfRule>
  </conditionalFormatting>
  <conditionalFormatting sqref="X183:AA183">
    <cfRule type="cellIs" dxfId="35" priority="53" operator="lessThan">
      <formula>-2</formula>
    </cfRule>
    <cfRule type="cellIs" dxfId="34" priority="54" operator="greaterThan">
      <formula>2</formula>
    </cfRule>
  </conditionalFormatting>
  <conditionalFormatting sqref="X180:AA181">
    <cfRule type="cellIs" dxfId="33" priority="51" operator="lessThan">
      <formula>-2</formula>
    </cfRule>
    <cfRule type="cellIs" dxfId="32" priority="52" operator="greaterThan">
      <formula>2</formula>
    </cfRule>
  </conditionalFormatting>
  <conditionalFormatting sqref="AM182:AP182">
    <cfRule type="cellIs" dxfId="31" priority="35" operator="lessThan">
      <formula>-2</formula>
    </cfRule>
    <cfRule type="cellIs" dxfId="30" priority="36" operator="greaterThan">
      <formula>2</formula>
    </cfRule>
  </conditionalFormatting>
  <conditionalFormatting sqref="D182:G182">
    <cfRule type="cellIs" dxfId="29" priority="47" operator="lessThan">
      <formula>-2</formula>
    </cfRule>
    <cfRule type="cellIs" dxfId="28" priority="48" operator="greaterThan">
      <formula>2</formula>
    </cfRule>
  </conditionalFormatting>
  <conditionalFormatting sqref="AC182:AF182">
    <cfRule type="cellIs" dxfId="27" priority="39" operator="lessThan">
      <formula>-2</formula>
    </cfRule>
    <cfRule type="cellIs" dxfId="26" priority="40" operator="greaterThan">
      <formula>2</formula>
    </cfRule>
  </conditionalFormatting>
  <conditionalFormatting sqref="S182:V182">
    <cfRule type="cellIs" dxfId="25" priority="43" operator="lessThan">
      <formula>-2</formula>
    </cfRule>
    <cfRule type="cellIs" dxfId="24" priority="44" operator="greaterThan">
      <formula>2</formula>
    </cfRule>
  </conditionalFormatting>
  <conditionalFormatting sqref="X182:AA182">
    <cfRule type="cellIs" dxfId="23" priority="41" operator="lessThan">
      <formula>-2</formula>
    </cfRule>
    <cfRule type="cellIs" dxfId="22" priority="42" operator="greaterThan">
      <formula>2</formula>
    </cfRule>
  </conditionalFormatting>
  <conditionalFormatting sqref="AH182:AK182">
    <cfRule type="cellIs" dxfId="21" priority="37" operator="lessThan">
      <formula>-2</formula>
    </cfRule>
    <cfRule type="cellIs" dxfId="20" priority="38" operator="greaterThan">
      <formula>2</formula>
    </cfRule>
  </conditionalFormatting>
  <conditionalFormatting sqref="N182:Q182">
    <cfRule type="cellIs" dxfId="19" priority="33" operator="lessThan">
      <formula>-2</formula>
    </cfRule>
    <cfRule type="cellIs" dxfId="18" priority="34" operator="greaterThan">
      <formula>2</formula>
    </cfRule>
  </conditionalFormatting>
  <conditionalFormatting sqref="I183:L183">
    <cfRule type="cellIs" dxfId="17" priority="31" operator="lessThan">
      <formula>-2</formula>
    </cfRule>
    <cfRule type="cellIs" dxfId="16" priority="32" operator="greaterThan">
      <formula>2</formula>
    </cfRule>
  </conditionalFormatting>
  <conditionalFormatting sqref="D183:G183">
    <cfRule type="cellIs" dxfId="15" priority="29" operator="lessThan">
      <formula>-2</formula>
    </cfRule>
    <cfRule type="cellIs" dxfId="14" priority="30" operator="greaterThan">
      <formula>2</formula>
    </cfRule>
  </conditionalFormatting>
  <conditionalFormatting sqref="I179:L179">
    <cfRule type="cellIs" dxfId="13" priority="13" operator="lessThan">
      <formula>-2</formula>
    </cfRule>
    <cfRule type="cellIs" dxfId="12" priority="14" operator="greaterThan">
      <formula>2</formula>
    </cfRule>
  </conditionalFormatting>
  <conditionalFormatting sqref="N179:Q179">
    <cfRule type="cellIs" dxfId="11" priority="11" operator="lessThan">
      <formula>-2</formula>
    </cfRule>
    <cfRule type="cellIs" dxfId="10" priority="12" operator="greaterThan">
      <formula>2</formula>
    </cfRule>
  </conditionalFormatting>
  <conditionalFormatting sqref="S179:V179">
    <cfRule type="cellIs" dxfId="9" priority="9" operator="lessThan">
      <formula>-2</formula>
    </cfRule>
    <cfRule type="cellIs" dxfId="8" priority="10" operator="greaterThan">
      <formula>2</formula>
    </cfRule>
  </conditionalFormatting>
  <conditionalFormatting sqref="X179:AA179">
    <cfRule type="cellIs" dxfId="7" priority="7" operator="lessThan">
      <formula>-2</formula>
    </cfRule>
    <cfRule type="cellIs" dxfId="6" priority="8" operator="greaterThan">
      <formula>2</formula>
    </cfRule>
  </conditionalFormatting>
  <conditionalFormatting sqref="AC179:AF179">
    <cfRule type="cellIs" dxfId="5" priority="5" operator="lessThan">
      <formula>-2</formula>
    </cfRule>
    <cfRule type="cellIs" dxfId="4" priority="6" operator="greaterThan">
      <formula>2</formula>
    </cfRule>
  </conditionalFormatting>
  <conditionalFormatting sqref="AH179:AK179">
    <cfRule type="cellIs" dxfId="3" priority="3" operator="lessThan">
      <formula>-2</formula>
    </cfRule>
    <cfRule type="cellIs" dxfId="2" priority="4" operator="greaterThan">
      <formula>2</formula>
    </cfRule>
  </conditionalFormatting>
  <conditionalFormatting sqref="AM179:AP179">
    <cfRule type="cellIs" dxfId="1" priority="1" operator="lessThan">
      <formula>-2</formula>
    </cfRule>
    <cfRule type="cellIs" dxfId="0" priority="2" operator="greaterThan">
      <formula>2</formula>
    </cfRule>
  </conditionalFormatting>
  <pageMargins left="0.7" right="0.7" top="0.75" bottom="0.75" header="0.3" footer="0.3"/>
  <pageSetup scale="10" orientation="landscape" r:id="rId1"/>
  <headerFooter>
    <oddFooter>&amp;CGutenberg Research LLC prohibits the redistribution of this document in whole or part without the written permission. 
© Gutenberg Research LLC 2018.</oddFooter>
  </headerFooter>
  <rowBreaks count="1" manualBreakCount="1">
    <brk id="239" max="16383" man="1"/>
  </rowBreaks>
  <ignoredErrors>
    <ignoredError sqref="G312" formula="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FedEx Earnings Model</vt:lpstr>
      <vt:lpstr>'FedEx Earnings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Admin</cp:lastModifiedBy>
  <cp:lastPrinted>2015-01-03T01:11:29Z</cp:lastPrinted>
  <dcterms:created xsi:type="dcterms:W3CDTF">2014-10-18T18:34:10Z</dcterms:created>
  <dcterms:modified xsi:type="dcterms:W3CDTF">2018-12-04T23:46:50Z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