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FIRM ARCHITECTURE\TEST APPLI\"/>
    </mc:Choice>
  </mc:AlternateContent>
  <bookViews>
    <workbookView xWindow="13152" yWindow="12" windowWidth="15648" windowHeight="15588" tabRatio="720" activeTab="5"/>
  </bookViews>
  <sheets>
    <sheet name="ELEC" sheetId="44" r:id="rId1"/>
    <sheet name="PLB" sheetId="34" r:id="rId2"/>
    <sheet name="METRE" sheetId="14" r:id="rId3"/>
    <sheet name="BDQ" sheetId="32" r:id="rId4"/>
    <sheet name="RATIO" sheetId="48" r:id="rId5"/>
    <sheet name="SCIM-DEVIS" sheetId="50" r:id="rId6"/>
  </sheets>
  <externalReferences>
    <externalReference r:id="rId7"/>
    <externalReference r:id="rId8"/>
    <externalReference r:id="rId9"/>
  </externalReferences>
  <definedNames>
    <definedName name="_xlnm._FilterDatabase" localSheetId="3" hidden="1">BDQ!#REF!</definedName>
    <definedName name="_xlnm._FilterDatabase" localSheetId="2" hidden="1">METRE!#REF!</definedName>
    <definedName name="_xlnm._FilterDatabase" localSheetId="4" hidden="1">RATIO!#REF!</definedName>
    <definedName name="_pvc100" localSheetId="3">#REF!</definedName>
    <definedName name="_pvc100" localSheetId="2">#REF!</definedName>
    <definedName name="_pvc100" localSheetId="4">#REF!</definedName>
    <definedName name="_pvc100">#REF!</definedName>
    <definedName name="_pvc40" localSheetId="3">#REF!</definedName>
    <definedName name="_pvc40" localSheetId="2">#REF!</definedName>
    <definedName name="_pvc40" localSheetId="4">#REF!</definedName>
    <definedName name="_pvc40">#REF!</definedName>
    <definedName name="A" localSheetId="3">#REF!</definedName>
    <definedName name="A" localSheetId="2">#REF!</definedName>
    <definedName name="A" localSheetId="4">#REF!</definedName>
    <definedName name="A">#REF!</definedName>
    <definedName name="Ammortissemnt" localSheetId="3">#REF!</definedName>
    <definedName name="Ammortissemnt" localSheetId="2">#REF!</definedName>
    <definedName name="Ammortissemnt" localSheetId="4">#REF!</definedName>
    <definedName name="Ammortissemnt">#REF!</definedName>
    <definedName name="armature" localSheetId="3">#REF!</definedName>
    <definedName name="armature" localSheetId="2">#REF!</definedName>
    <definedName name="armature" localSheetId="4">#REF!</definedName>
    <definedName name="armature">#REF!</definedName>
    <definedName name="AZAZ">'[1]Amort materiel'!$H$75</definedName>
    <definedName name="BAà350" localSheetId="3">#REF!</definedName>
    <definedName name="BAà350" localSheetId="2">#REF!</definedName>
    <definedName name="BAà350" localSheetId="4">#REF!</definedName>
    <definedName name="BAà350">#REF!</definedName>
    <definedName name="badigeon" localSheetId="3">#REF!</definedName>
    <definedName name="badigeon" localSheetId="2">#REF!</definedName>
    <definedName name="badigeon" localSheetId="4">#REF!</definedName>
    <definedName name="badigeon">#REF!</definedName>
    <definedName name="BOà250" localSheetId="3">#REF!</definedName>
    <definedName name="BOà250" localSheetId="2">#REF!</definedName>
    <definedName name="BOà250" localSheetId="4">#REF!</definedName>
    <definedName name="BOà250">#REF!</definedName>
    <definedName name="BPà150" localSheetId="3">#REF!</definedName>
    <definedName name="BPà150" localSheetId="2">#REF!</definedName>
    <definedName name="BPà150" localSheetId="4">#REF!</definedName>
    <definedName name="BPà150">#REF!</definedName>
    <definedName name="Camion" localSheetId="3">#REF!</definedName>
    <definedName name="Camion" localSheetId="2">#REF!</definedName>
    <definedName name="Camion" localSheetId="4">#REF!</definedName>
    <definedName name="Camion">#REF!</definedName>
    <definedName name="CE" localSheetId="3">#REF!</definedName>
    <definedName name="CE" localSheetId="2">#REF!</definedName>
    <definedName name="CE" localSheetId="4">#REF!</definedName>
    <definedName name="CE">#REF!</definedName>
    <definedName name="chape" localSheetId="3">#REF!</definedName>
    <definedName name="chape" localSheetId="2">#REF!</definedName>
    <definedName name="chape" localSheetId="4">#REF!</definedName>
    <definedName name="chape">#REF!</definedName>
    <definedName name="chappe" localSheetId="3">#REF!</definedName>
    <definedName name="chappe" localSheetId="2">#REF!</definedName>
    <definedName name="chappe" localSheetId="4">#REF!</definedName>
    <definedName name="chappe">#REF!</definedName>
    <definedName name="charpente" localSheetId="3">#REF!</definedName>
    <definedName name="charpente" localSheetId="2">#REF!</definedName>
    <definedName name="charpente" localSheetId="4">#REF!</definedName>
    <definedName name="charpente">#REF!</definedName>
    <definedName name="Ciment" localSheetId="3">#REF!</definedName>
    <definedName name="Ciment" localSheetId="2">#REF!</definedName>
    <definedName name="Ciment" localSheetId="4">#REF!</definedName>
    <definedName name="Ciment">#REF!</definedName>
    <definedName name="claustras" localSheetId="3">#REF!</definedName>
    <definedName name="claustras" localSheetId="2">#REF!</definedName>
    <definedName name="claustras" localSheetId="4">#REF!</definedName>
    <definedName name="claustras">#REF!</definedName>
    <definedName name="coffrage" localSheetId="3">#REF!</definedName>
    <definedName name="coffrage" localSheetId="2">#REF!</definedName>
    <definedName name="coffrage" localSheetId="4">#REF!</definedName>
    <definedName name="coffrage">#REF!</definedName>
    <definedName name="cofrage" localSheetId="3">#REF!</definedName>
    <definedName name="cofrage" localSheetId="2">#REF!</definedName>
    <definedName name="cofrage" localSheetId="4">#REF!</definedName>
    <definedName name="cofrage">#REF!</definedName>
    <definedName name="couverture" localSheetId="3">#REF!</definedName>
    <definedName name="couverture" localSheetId="2">#REF!</definedName>
    <definedName name="couverture" localSheetId="4">#REF!</definedName>
    <definedName name="couverture">#REF!</definedName>
    <definedName name="crepis" localSheetId="3">#REF!</definedName>
    <definedName name="crepis" localSheetId="2">#REF!</definedName>
    <definedName name="crepis" localSheetId="4">#REF!</definedName>
    <definedName name="crepis">#REF!</definedName>
    <definedName name="_xlnm.Data_Form" localSheetId="3">#REF!</definedName>
    <definedName name="_xlnm.Data_Form" localSheetId="2">#REF!</definedName>
    <definedName name="_xlnm.Data_Form" localSheetId="4">#REF!</definedName>
    <definedName name="_xlnm.Data_Form">#REF!</definedName>
    <definedName name="dsf" localSheetId="3">#REF!</definedName>
    <definedName name="dsf" localSheetId="2">#REF!</definedName>
    <definedName name="dsf" localSheetId="4">#REF!</definedName>
    <definedName name="dsf">#REF!</definedName>
    <definedName name="eau" localSheetId="3">#REF!</definedName>
    <definedName name="eau" localSheetId="2">#REF!</definedName>
    <definedName name="eau" localSheetId="4">#REF!</definedName>
    <definedName name="eau">#REF!</definedName>
    <definedName name="enduit" localSheetId="3">#REF!</definedName>
    <definedName name="enduit" localSheetId="2">#REF!</definedName>
    <definedName name="enduit" localSheetId="4">#REF!</definedName>
    <definedName name="enduit">#REF!</definedName>
    <definedName name="enduitlisse" localSheetId="3">#REF!</definedName>
    <definedName name="enduitlisse" localSheetId="2">#REF!</definedName>
    <definedName name="enduitlisse" localSheetId="4">#REF!</definedName>
    <definedName name="enduitlisse">#REF!</definedName>
    <definedName name="evacuation" localSheetId="3">#REF!</definedName>
    <definedName name="evacuation" localSheetId="2">#REF!</definedName>
    <definedName name="evacuation" localSheetId="4">#REF!</definedName>
    <definedName name="evacuation">#REF!</definedName>
    <definedName name="faitière" localSheetId="3">#REF!</definedName>
    <definedName name="faitière" localSheetId="2">#REF!</definedName>
    <definedName name="faitière" localSheetId="4">#REF!</definedName>
    <definedName name="faitière">#REF!</definedName>
    <definedName name="fenêtre100" localSheetId="3">#REF!</definedName>
    <definedName name="fenêtre100" localSheetId="2">#REF!</definedName>
    <definedName name="fenêtre100" localSheetId="4">#REF!</definedName>
    <definedName name="fenêtre100">#REF!</definedName>
    <definedName name="fenêtre140" localSheetId="3">#REF!</definedName>
    <definedName name="fenêtre140" localSheetId="2">#REF!</definedName>
    <definedName name="fenêtre140" localSheetId="4">#REF!</definedName>
    <definedName name="fenêtre140">#REF!</definedName>
    <definedName name="ferme" localSheetId="3">#REF!</definedName>
    <definedName name="ferme" localSheetId="2">#REF!</definedName>
    <definedName name="ferme" localSheetId="4">#REF!</definedName>
    <definedName name="ferme">#REF!</definedName>
    <definedName name="FETRA" localSheetId="3">#REF!</definedName>
    <definedName name="FETRA" localSheetId="2">#REF!</definedName>
    <definedName name="FETRA" localSheetId="4">#REF!</definedName>
    <definedName name="FETRA">#REF!</definedName>
    <definedName name="fouille" localSheetId="3">#REF!</definedName>
    <definedName name="fouille" localSheetId="2">#REF!</definedName>
    <definedName name="fouille" localSheetId="4">#REF!</definedName>
    <definedName name="fouille">#REF!</definedName>
    <definedName name="fouillepuits" localSheetId="3">#REF!</definedName>
    <definedName name="fouillepuits" localSheetId="2">#REF!</definedName>
    <definedName name="fouillepuits" localSheetId="4">#REF!</definedName>
    <definedName name="fouillepuits">#REF!</definedName>
    <definedName name="fsdg" localSheetId="3">#REF!</definedName>
    <definedName name="fsdg" localSheetId="2">#REF!</definedName>
    <definedName name="fsdg" localSheetId="4">#REF!</definedName>
    <definedName name="fsdg">#REF!</definedName>
    <definedName name="GFDGS" localSheetId="3">#REF!</definedName>
    <definedName name="GFDGS" localSheetId="2">#REF!</definedName>
    <definedName name="GFDGS" localSheetId="4">#REF!</definedName>
    <definedName name="GFDGS">#REF!</definedName>
    <definedName name="glycéro" localSheetId="3">#REF!</definedName>
    <definedName name="glycéro" localSheetId="2">#REF!</definedName>
    <definedName name="glycéro" localSheetId="4">#REF!</definedName>
    <definedName name="glycéro">#REF!</definedName>
    <definedName name="Gravillon" localSheetId="3">#REF!</definedName>
    <definedName name="Gravillon" localSheetId="2">#REF!</definedName>
    <definedName name="Gravillon" localSheetId="4">#REF!</definedName>
    <definedName name="Gravillon">#REF!</definedName>
    <definedName name="herisson" localSheetId="3">#REF!</definedName>
    <definedName name="herisson" localSheetId="2">#REF!</definedName>
    <definedName name="herisson" localSheetId="4">#REF!</definedName>
    <definedName name="herisson">#REF!</definedName>
    <definedName name="HG" localSheetId="3">#REF!</definedName>
    <definedName name="HG" localSheetId="2">#REF!</definedName>
    <definedName name="HG" localSheetId="4">#REF!</definedName>
    <definedName name="HG">#REF!</definedName>
    <definedName name="HSSH" localSheetId="3">#REF!</definedName>
    <definedName name="HSSH" localSheetId="2">#REF!</definedName>
    <definedName name="HSSH" localSheetId="4">#REF!</definedName>
    <definedName name="HSSH">#REF!</definedName>
    <definedName name="installation" localSheetId="3">#REF!</definedName>
    <definedName name="installation" localSheetId="2">#REF!</definedName>
    <definedName name="installation" localSheetId="4">#REF!</definedName>
    <definedName name="installation">#REF!</definedName>
    <definedName name="K" localSheetId="3">#REF!</definedName>
    <definedName name="K" localSheetId="2">#REF!</definedName>
    <definedName name="K" localSheetId="4">#REF!</definedName>
    <definedName name="K">#REF!</definedName>
    <definedName name="maàmoellon" localSheetId="3">#REF!</definedName>
    <definedName name="maàmoellon" localSheetId="2">#REF!</definedName>
    <definedName name="maàmoellon" localSheetId="4">#REF!</definedName>
    <definedName name="maàmoellon">#REF!</definedName>
    <definedName name="maçaglo10" localSheetId="3">#REF!</definedName>
    <definedName name="maçaglo10" localSheetId="2">#REF!</definedName>
    <definedName name="maçaglo10" localSheetId="4">#REF!</definedName>
    <definedName name="maçaglo10">#REF!</definedName>
    <definedName name="maçaglo20" localSheetId="3">#REF!</definedName>
    <definedName name="maçaglo20" localSheetId="2">#REF!</definedName>
    <definedName name="maçaglo20" localSheetId="4">#REF!</definedName>
    <definedName name="maçaglo20">#REF!</definedName>
    <definedName name="maçmoellon" localSheetId="3">#REF!</definedName>
    <definedName name="maçmoellon" localSheetId="2">#REF!</definedName>
    <definedName name="maçmoellon" localSheetId="4">#REF!</definedName>
    <definedName name="maçmoellon">#REF!</definedName>
    <definedName name="ml">"Forme automatique 2"</definedName>
    <definedName name="MO" localSheetId="3">#REF!</definedName>
    <definedName name="MO" localSheetId="2">#REF!</definedName>
    <definedName name="MO" localSheetId="4">#REF!</definedName>
    <definedName name="MO">#REF!</definedName>
    <definedName name="netoyage" localSheetId="3">#REF!</definedName>
    <definedName name="netoyage" localSheetId="2">#REF!</definedName>
    <definedName name="netoyage" localSheetId="4">#REF!</definedName>
    <definedName name="netoyage">#REF!</definedName>
    <definedName name="OS" localSheetId="3">#REF!</definedName>
    <definedName name="OS" localSheetId="2">#REF!</definedName>
    <definedName name="OS" localSheetId="4">#REF!</definedName>
    <definedName name="OS">#REF!</definedName>
    <definedName name="OS.">'[2]Amort materiel'!$H$76</definedName>
    <definedName name="placard" localSheetId="3">#REF!</definedName>
    <definedName name="placard" localSheetId="2">#REF!</definedName>
    <definedName name="placard" localSheetId="4">#REF!</definedName>
    <definedName name="placard">#REF!</definedName>
    <definedName name="plafond" localSheetId="3">#REF!</definedName>
    <definedName name="plafond" localSheetId="2">#REF!</definedName>
    <definedName name="plafond" localSheetId="4">#REF!</definedName>
    <definedName name="plafond">#REF!</definedName>
    <definedName name="plderive" localSheetId="3">#REF!</definedName>
    <definedName name="plderive" localSheetId="2">#REF!</definedName>
    <definedName name="plderive" localSheetId="4">#REF!</definedName>
    <definedName name="plderive">#REF!</definedName>
    <definedName name="Plomberie" localSheetId="3">#REF!</definedName>
    <definedName name="Plomberie" localSheetId="2">#REF!</definedName>
    <definedName name="Plomberie" localSheetId="4">#REF!</definedName>
    <definedName name="Plomberie">#REF!</definedName>
    <definedName name="porte90" localSheetId="3">#REF!</definedName>
    <definedName name="porte90" localSheetId="2">#REF!</definedName>
    <definedName name="porte90" localSheetId="4">#REF!</definedName>
    <definedName name="porte90">#REF!</definedName>
    <definedName name="_xlnm.Print_Area" localSheetId="3">BDQ!$A$1:$E$282</definedName>
    <definedName name="_xlnm.Print_Area" localSheetId="2">METRE!$A$1:$F$11</definedName>
    <definedName name="_xlnm.Print_Area" localSheetId="4">RATIO!$A$1:$J$41</definedName>
    <definedName name="_xlnm.Print_Titles" localSheetId="2">METRE!$1:$11</definedName>
    <definedName name="_xlnm.Print_Titles" localSheetId="4">RATIO!$1:$8</definedName>
    <definedName name="pu2ptlumineuxSAencastre">[3]Sdetail!$J$2119</definedName>
    <definedName name="pu4ptlumineuxSAencastre">[3]Sdetail!$J$2147</definedName>
    <definedName name="puglobeopalin25">[3]Sdetail!$J$2465</definedName>
    <definedName name="pulustreà4brancheslaiton">[3]Sdetail!$J$2577</definedName>
    <definedName name="puprisecourantforce">[3]Sdetail!$J$2520</definedName>
    <definedName name="puregletteduotube120">[3]Sdetail!$J$2387</definedName>
    <definedName name="pureglettemono120">[3]Sdetail!$J$2361</definedName>
    <definedName name="remblai" localSheetId="3">#REF!</definedName>
    <definedName name="remblai" localSheetId="2">#REF!</definedName>
    <definedName name="remblai" localSheetId="4">#REF!</definedName>
    <definedName name="remblai">#REF!</definedName>
    <definedName name="repli" localSheetId="3">#REF!</definedName>
    <definedName name="repli" localSheetId="2">#REF!</definedName>
    <definedName name="repli" localSheetId="4">#REF!</definedName>
    <definedName name="repli">#REF!</definedName>
    <definedName name="Sable" localSheetId="3">#REF!</definedName>
    <definedName name="Sable" localSheetId="2">#REF!</definedName>
    <definedName name="Sable" localSheetId="4">#REF!</definedName>
    <definedName name="Sable">#REF!</definedName>
    <definedName name="SDFS" localSheetId="3">#REF!</definedName>
    <definedName name="SDFS" localSheetId="2">#REF!</definedName>
    <definedName name="SDFS" localSheetId="4">#REF!</definedName>
    <definedName name="SDFS">#REF!</definedName>
    <definedName name="SDG" localSheetId="3">#REF!</definedName>
    <definedName name="SDG" localSheetId="2">#REF!</definedName>
    <definedName name="SDG" localSheetId="4">#REF!</definedName>
    <definedName name="SDG">#REF!</definedName>
    <definedName name="signal" localSheetId="3">#REF!</definedName>
    <definedName name="signal" localSheetId="2">#REF!</definedName>
    <definedName name="signal" localSheetId="4">#REF!</definedName>
    <definedName name="signal">#REF!</definedName>
    <definedName name="solin" localSheetId="3">#REF!</definedName>
    <definedName name="solin" localSheetId="2">#REF!</definedName>
    <definedName name="solin" localSheetId="4">#REF!</definedName>
    <definedName name="solin">#REF!</definedName>
    <definedName name="SQD" localSheetId="3">#REF!</definedName>
    <definedName name="SQD" localSheetId="2">#REF!</definedName>
    <definedName name="SQD" localSheetId="4">#REF!</definedName>
    <definedName name="SQD">#REF!</definedName>
    <definedName name="srs" localSheetId="3">#REF!</definedName>
    <definedName name="srs" localSheetId="2">#REF!</definedName>
    <definedName name="srs" localSheetId="4">#REF!</definedName>
    <definedName name="srs">#REF!</definedName>
    <definedName name="test" localSheetId="3">#REF!</definedName>
    <definedName name="test" localSheetId="2">#REF!</definedName>
    <definedName name="test" localSheetId="4">#REF!</definedName>
    <definedName name="test">#REF!</definedName>
    <definedName name="vinylext" localSheetId="3">#REF!</definedName>
    <definedName name="vinylext" localSheetId="2">#REF!</definedName>
    <definedName name="vinylext" localSheetId="4">#REF!</definedName>
    <definedName name="vinylext">#REF!</definedName>
    <definedName name="vinylint" localSheetId="3">#REF!</definedName>
    <definedName name="vinylint" localSheetId="2">#REF!</definedName>
    <definedName name="vinylint" localSheetId="4">#REF!</definedName>
    <definedName name="vinylint">#REF!</definedName>
    <definedName name="Z" localSheetId="3">#REF!</definedName>
    <definedName name="Z" localSheetId="2">#REF!</definedName>
    <definedName name="Z" localSheetId="4">#REF!</definedName>
    <definedName name="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48" l="1"/>
  <c r="G14" i="48"/>
  <c r="G15" i="48"/>
  <c r="G16" i="48"/>
  <c r="G18" i="48"/>
  <c r="G19" i="48"/>
  <c r="G20" i="48"/>
  <c r="G21" i="48"/>
  <c r="G17" i="48" s="1"/>
  <c r="G22" i="48"/>
  <c r="G23" i="48"/>
  <c r="G24" i="48"/>
  <c r="G25" i="48"/>
  <c r="G26" i="48"/>
  <c r="G27" i="48"/>
  <c r="G28" i="48"/>
  <c r="G29" i="48"/>
  <c r="G30" i="48"/>
  <c r="G31" i="48"/>
  <c r="G32" i="48"/>
  <c r="F258" i="32" l="1"/>
  <c r="D258" i="32" l="1"/>
  <c r="C278" i="32" l="1"/>
  <c r="C264" i="32" l="1"/>
  <c r="C263" i="32"/>
  <c r="C258" i="32"/>
  <c r="F259" i="32"/>
  <c r="F260" i="32"/>
  <c r="F261" i="32"/>
  <c r="F262" i="32"/>
  <c r="F263" i="32"/>
  <c r="F264" i="32"/>
  <c r="F265" i="32"/>
  <c r="F266" i="32"/>
  <c r="F267" i="32"/>
  <c r="F268" i="32"/>
  <c r="F269" i="32"/>
  <c r="F270" i="32"/>
  <c r="F271" i="32"/>
  <c r="F272" i="32"/>
  <c r="F273" i="32"/>
  <c r="F274" i="32"/>
  <c r="F275" i="32"/>
  <c r="F276" i="32"/>
  <c r="F277" i="32"/>
  <c r="F127" i="32"/>
  <c r="C39" i="48"/>
  <c r="G231" i="32" l="1"/>
  <c r="G230" i="32" s="1"/>
  <c r="G202" i="32"/>
  <c r="G203" i="32"/>
  <c r="G204" i="32"/>
  <c r="G205" i="32"/>
  <c r="G206" i="32"/>
  <c r="G207" i="32"/>
  <c r="G208" i="32"/>
  <c r="G209" i="32"/>
  <c r="G211" i="32"/>
  <c r="G212" i="32"/>
  <c r="G213" i="32"/>
  <c r="G214" i="32"/>
  <c r="G215" i="32"/>
  <c r="G216" i="32"/>
  <c r="G217" i="32"/>
  <c r="G218" i="32"/>
  <c r="G223" i="32"/>
  <c r="G226" i="32"/>
  <c r="G227" i="32"/>
  <c r="G228" i="32"/>
  <c r="G229" i="32"/>
  <c r="G201" i="32"/>
  <c r="G181" i="32"/>
  <c r="G182" i="32"/>
  <c r="G183" i="32"/>
  <c r="G184" i="32"/>
  <c r="G185" i="32"/>
  <c r="G186" i="32"/>
  <c r="G187" i="32"/>
  <c r="G188" i="32"/>
  <c r="G189" i="32"/>
  <c r="G190" i="32"/>
  <c r="G191" i="32"/>
  <c r="G192" i="32"/>
  <c r="G193" i="32"/>
  <c r="G194" i="32"/>
  <c r="G195" i="32"/>
  <c r="G196" i="32"/>
  <c r="G197" i="32"/>
  <c r="G198" i="32"/>
  <c r="G199" i="32"/>
  <c r="G180" i="32"/>
  <c r="G133" i="32"/>
  <c r="G134" i="32"/>
  <c r="G135" i="32"/>
  <c r="G136" i="32"/>
  <c r="G137" i="32"/>
  <c r="G138" i="32"/>
  <c r="G139" i="32"/>
  <c r="G140" i="32"/>
  <c r="G141" i="32"/>
  <c r="G142" i="32"/>
  <c r="G143" i="32"/>
  <c r="G144" i="32"/>
  <c r="G145" i="32"/>
  <c r="G146" i="32"/>
  <c r="G147" i="32"/>
  <c r="G148" i="32"/>
  <c r="G149" i="32"/>
  <c r="G150" i="32"/>
  <c r="G151" i="32"/>
  <c r="G152" i="32"/>
  <c r="G153" i="32"/>
  <c r="G154" i="32"/>
  <c r="G155" i="32"/>
  <c r="G156" i="32"/>
  <c r="G157" i="32"/>
  <c r="G158" i="32"/>
  <c r="G159" i="32"/>
  <c r="G160" i="32"/>
  <c r="G161" i="32"/>
  <c r="G162" i="32"/>
  <c r="G164" i="32"/>
  <c r="G165" i="32"/>
  <c r="G166" i="32"/>
  <c r="G167" i="32"/>
  <c r="G168" i="32"/>
  <c r="G169" i="32"/>
  <c r="G170" i="32"/>
  <c r="G171" i="32"/>
  <c r="G172" i="32"/>
  <c r="G173" i="32"/>
  <c r="G174" i="32"/>
  <c r="G175" i="32"/>
  <c r="G177" i="32"/>
  <c r="G132" i="32"/>
  <c r="G238" i="32"/>
  <c r="G239" i="32"/>
  <c r="G240" i="32"/>
  <c r="G241" i="32"/>
  <c r="G242" i="32"/>
  <c r="G237" i="32"/>
  <c r="G100" i="32"/>
  <c r="G101" i="32"/>
  <c r="G102" i="32"/>
  <c r="G81" i="32"/>
  <c r="G82" i="32"/>
  <c r="G83" i="32"/>
  <c r="G84" i="32"/>
  <c r="G85" i="32"/>
  <c r="G86" i="32"/>
  <c r="G87" i="32"/>
  <c r="G88" i="32"/>
  <c r="G80" i="32"/>
  <c r="G59" i="32"/>
  <c r="G47" i="32"/>
  <c r="G54" i="32"/>
  <c r="G19" i="32"/>
  <c r="G21" i="32"/>
  <c r="G23" i="32"/>
  <c r="G28" i="32"/>
  <c r="G30" i="32"/>
  <c r="G32" i="32"/>
  <c r="G33" i="32"/>
  <c r="G35" i="32"/>
  <c r="G37" i="32"/>
  <c r="G17" i="32"/>
  <c r="E96" i="32"/>
  <c r="G96" i="32" s="1"/>
  <c r="G236" i="32" l="1"/>
  <c r="G79" i="32"/>
  <c r="G179" i="32"/>
  <c r="F56" i="32"/>
  <c r="R76" i="32"/>
  <c r="T76" i="32" s="1"/>
  <c r="U76" i="32" s="1"/>
  <c r="Q71" i="32"/>
  <c r="S71" i="32" s="1"/>
  <c r="S70" i="32"/>
  <c r="S73" i="32"/>
  <c r="S72" i="32"/>
  <c r="S66" i="32"/>
  <c r="S67" i="32"/>
  <c r="S62" i="32"/>
  <c r="S63" i="32"/>
  <c r="S61" i="32"/>
  <c r="F118" i="32"/>
  <c r="G118" i="32" s="1"/>
  <c r="F117" i="32"/>
  <c r="G117" i="32" s="1"/>
  <c r="F116" i="32"/>
  <c r="G116" i="32" s="1"/>
  <c r="F115" i="32"/>
  <c r="G115" i="32" s="1"/>
  <c r="F114" i="32"/>
  <c r="G114" i="32" s="1"/>
  <c r="F57" i="32"/>
  <c r="F248" i="32"/>
  <c r="F244" i="32"/>
  <c r="F246" i="32"/>
  <c r="F108" i="32"/>
  <c r="G108" i="32" s="1"/>
  <c r="F105" i="32"/>
  <c r="G105" i="32" s="1"/>
  <c r="F104" i="32"/>
  <c r="G104" i="32" s="1"/>
  <c r="F103" i="32"/>
  <c r="G103" i="32" s="1"/>
  <c r="F107" i="32"/>
  <c r="G107" i="32" s="1"/>
  <c r="F106" i="32"/>
  <c r="G106" i="32" s="1"/>
  <c r="L102" i="32"/>
  <c r="L101" i="32"/>
  <c r="N101" i="32" s="1"/>
  <c r="S64" i="32" l="1"/>
  <c r="U64" i="32" s="1"/>
  <c r="V64" i="32" s="1"/>
  <c r="S74" i="32"/>
  <c r="U74" i="32" s="1"/>
  <c r="V74" i="32" s="1"/>
  <c r="S69" i="32"/>
  <c r="U69" i="32" s="1"/>
  <c r="V69" i="32" s="1"/>
  <c r="M102" i="32"/>
  <c r="N102" i="32" s="1"/>
  <c r="F113" i="32"/>
  <c r="G113" i="32" s="1"/>
  <c r="F112" i="32"/>
  <c r="G112" i="32" s="1"/>
  <c r="F124" i="32"/>
  <c r="G124" i="32" s="1"/>
  <c r="F130" i="32"/>
  <c r="G130" i="32" s="1"/>
  <c r="F128" i="32"/>
  <c r="G127" i="32"/>
  <c r="F123" i="32"/>
  <c r="G123" i="32" s="1"/>
  <c r="F125" i="32"/>
  <c r="F121" i="32"/>
  <c r="F120" i="32"/>
  <c r="G120" i="32" s="1"/>
  <c r="F78" i="32"/>
  <c r="F72" i="32"/>
  <c r="F178" i="32"/>
  <c r="G178" i="32" s="1"/>
  <c r="F163" i="32"/>
  <c r="G163" i="32" s="1"/>
  <c r="F176" i="32"/>
  <c r="G176" i="32" s="1"/>
  <c r="F26" i="32"/>
  <c r="G26" i="32" s="1"/>
  <c r="F25" i="32"/>
  <c r="G25" i="32" s="1"/>
  <c r="F219" i="32"/>
  <c r="F210" i="32"/>
  <c r="G210" i="32" s="1"/>
  <c r="G111" i="32" l="1"/>
  <c r="G131" i="32"/>
  <c r="G15" i="32"/>
  <c r="F224" i="32"/>
  <c r="G224" i="32" s="1"/>
  <c r="G219" i="32"/>
  <c r="F122" i="32"/>
  <c r="G122" i="32" s="1"/>
  <c r="G121" i="32"/>
  <c r="F129" i="32"/>
  <c r="G129" i="32" s="1"/>
  <c r="G128" i="32"/>
  <c r="F126" i="32"/>
  <c r="G126" i="32" s="1"/>
  <c r="G125" i="32"/>
  <c r="F220" i="32"/>
  <c r="G234" i="32"/>
  <c r="G235" i="32"/>
  <c r="E99" i="32"/>
  <c r="G99" i="32" s="1"/>
  <c r="E98" i="32"/>
  <c r="G98" i="32" s="1"/>
  <c r="E97" i="32"/>
  <c r="G97" i="32" s="1"/>
  <c r="G246" i="32"/>
  <c r="G244" i="32"/>
  <c r="G243" i="32" s="1"/>
  <c r="G119" i="32" l="1"/>
  <c r="C268" i="32" s="1"/>
  <c r="G245" i="32"/>
  <c r="C276" i="32" s="1"/>
  <c r="F222" i="32"/>
  <c r="G222" i="32" s="1"/>
  <c r="G220" i="32"/>
  <c r="C275" i="32"/>
  <c r="D275" i="32" s="1"/>
  <c r="F225" i="32"/>
  <c r="G225" i="32" s="1"/>
  <c r="F221" i="32"/>
  <c r="G221" i="32" s="1"/>
  <c r="C23" i="48" l="1"/>
  <c r="C30" i="48"/>
  <c r="E30" i="48" s="1"/>
  <c r="D276" i="32"/>
  <c r="C31" i="48"/>
  <c r="G200" i="32"/>
  <c r="G248" i="32"/>
  <c r="I30" i="48" l="1"/>
  <c r="F30" i="48"/>
  <c r="D30" i="48"/>
  <c r="F31" i="48"/>
  <c r="D31" i="48"/>
  <c r="E31" i="48"/>
  <c r="G247" i="32"/>
  <c r="C277" i="32" s="1"/>
  <c r="G14" i="32"/>
  <c r="C267" i="32"/>
  <c r="C274" i="32"/>
  <c r="C271" i="32"/>
  <c r="G233" i="32"/>
  <c r="G232" i="32" s="1"/>
  <c r="C273" i="32" s="1"/>
  <c r="K932" i="14"/>
  <c r="K946" i="14"/>
  <c r="K944" i="14"/>
  <c r="K943" i="14"/>
  <c r="H942" i="14"/>
  <c r="K942" i="14" s="1"/>
  <c r="H939" i="14"/>
  <c r="K939" i="14" s="1"/>
  <c r="K938" i="14"/>
  <c r="K937" i="14"/>
  <c r="K934" i="14"/>
  <c r="H860" i="14"/>
  <c r="K860" i="14" s="1"/>
  <c r="K865" i="14"/>
  <c r="K864" i="14"/>
  <c r="H863" i="14"/>
  <c r="K863" i="14" s="1"/>
  <c r="D274" i="32" l="1"/>
  <c r="C29" i="48"/>
  <c r="D29" i="48" s="1"/>
  <c r="J30" i="48"/>
  <c r="H30" i="48"/>
  <c r="D277" i="32"/>
  <c r="C32" i="48"/>
  <c r="I31" i="48"/>
  <c r="J31" i="48"/>
  <c r="H31" i="48"/>
  <c r="C269" i="32"/>
  <c r="C270" i="32"/>
  <c r="C259" i="32"/>
  <c r="G13" i="32"/>
  <c r="H992" i="14"/>
  <c r="J992" i="14" s="1"/>
  <c r="K992" i="14" s="1"/>
  <c r="D978" i="14"/>
  <c r="H978" i="14" s="1"/>
  <c r="J978" i="14" s="1"/>
  <c r="K978" i="14" s="1"/>
  <c r="H977" i="14"/>
  <c r="J977" i="14" s="1"/>
  <c r="K977" i="14" s="1"/>
  <c r="D976" i="14"/>
  <c r="H976" i="14" s="1"/>
  <c r="J976" i="14" s="1"/>
  <c r="K976" i="14" s="1"/>
  <c r="H990" i="14"/>
  <c r="J990" i="14" s="1"/>
  <c r="K990" i="14" s="1"/>
  <c r="H989" i="14"/>
  <c r="J989" i="14" s="1"/>
  <c r="K989" i="14" s="1"/>
  <c r="H975" i="14"/>
  <c r="J975" i="14" s="1"/>
  <c r="K975" i="14" s="1"/>
  <c r="H986" i="14"/>
  <c r="J986" i="14" s="1"/>
  <c r="K986" i="14" s="1"/>
  <c r="H985" i="14"/>
  <c r="J985" i="14" s="1"/>
  <c r="K985" i="14" s="1"/>
  <c r="H964" i="14"/>
  <c r="J964" i="14" s="1"/>
  <c r="K964" i="14" s="1"/>
  <c r="D963" i="14"/>
  <c r="H963" i="14" s="1"/>
  <c r="J963" i="14" s="1"/>
  <c r="K963" i="14" s="1"/>
  <c r="H962" i="14"/>
  <c r="J962" i="14" s="1"/>
  <c r="K962" i="14" s="1"/>
  <c r="H988" i="14"/>
  <c r="J988" i="14" s="1"/>
  <c r="K988" i="14" s="1"/>
  <c r="H987" i="14"/>
  <c r="J987" i="14" s="1"/>
  <c r="K987" i="14" s="1"/>
  <c r="H982" i="14"/>
  <c r="J982" i="14" s="1"/>
  <c r="K982" i="14" s="1"/>
  <c r="H974" i="14"/>
  <c r="J974" i="14" s="1"/>
  <c r="K974" i="14" s="1"/>
  <c r="H973" i="14"/>
  <c r="J973" i="14" s="1"/>
  <c r="K973" i="14" s="1"/>
  <c r="H972" i="14"/>
  <c r="J972" i="14" s="1"/>
  <c r="K972" i="14" s="1"/>
  <c r="H971" i="14"/>
  <c r="J971" i="14" s="1"/>
  <c r="K971" i="14" s="1"/>
  <c r="H970" i="14"/>
  <c r="J970" i="14" s="1"/>
  <c r="K970" i="14" s="1"/>
  <c r="H969" i="14"/>
  <c r="J969" i="14" s="1"/>
  <c r="K969" i="14" s="1"/>
  <c r="H968" i="14"/>
  <c r="J968" i="14" s="1"/>
  <c r="K968" i="14" s="1"/>
  <c r="H967" i="14"/>
  <c r="J967" i="14" s="1"/>
  <c r="K967" i="14" s="1"/>
  <c r="H961" i="14"/>
  <c r="J961" i="14" s="1"/>
  <c r="K961" i="14" s="1"/>
  <c r="D819" i="14"/>
  <c r="H819" i="14" s="1"/>
  <c r="J819" i="14" s="1"/>
  <c r="K819" i="14" s="1"/>
  <c r="D823" i="14"/>
  <c r="H811" i="14"/>
  <c r="J811" i="14" s="1"/>
  <c r="K811" i="14" s="1"/>
  <c r="H807" i="14"/>
  <c r="J807" i="14" s="1"/>
  <c r="K807" i="14" s="1"/>
  <c r="H806" i="14"/>
  <c r="J806" i="14" s="1"/>
  <c r="K806" i="14" s="1"/>
  <c r="H804" i="14"/>
  <c r="J804" i="14" s="1"/>
  <c r="K804" i="14" s="1"/>
  <c r="H800" i="14"/>
  <c r="E781" i="14"/>
  <c r="H781" i="14" s="1"/>
  <c r="J781" i="14" s="1"/>
  <c r="K781" i="14" s="1"/>
  <c r="E780" i="14"/>
  <c r="H780" i="14" s="1"/>
  <c r="J780" i="14" s="1"/>
  <c r="K780" i="14" s="1"/>
  <c r="C793" i="14"/>
  <c r="D787" i="14"/>
  <c r="D784" i="14"/>
  <c r="E776" i="14"/>
  <c r="E777" i="14"/>
  <c r="H777" i="14" s="1"/>
  <c r="J724" i="14"/>
  <c r="K724" i="14" s="1"/>
  <c r="J723" i="14"/>
  <c r="K723" i="14" s="1"/>
  <c r="J722" i="14"/>
  <c r="K722" i="14" s="1"/>
  <c r="J719" i="14"/>
  <c r="K719" i="14" s="1"/>
  <c r="J718" i="14"/>
  <c r="K718" i="14" s="1"/>
  <c r="J717" i="14"/>
  <c r="K717" i="14" s="1"/>
  <c r="J716" i="14"/>
  <c r="K716" i="14" s="1"/>
  <c r="J715" i="14"/>
  <c r="K715" i="14" s="1"/>
  <c r="J714" i="14"/>
  <c r="K714" i="14" s="1"/>
  <c r="J713" i="14"/>
  <c r="K713" i="14" s="1"/>
  <c r="J712" i="14"/>
  <c r="K712" i="14" s="1"/>
  <c r="J711" i="14"/>
  <c r="K711" i="14" s="1"/>
  <c r="J709" i="14"/>
  <c r="K709" i="14" s="1"/>
  <c r="J708" i="14"/>
  <c r="K708" i="14" s="1"/>
  <c r="J707" i="14"/>
  <c r="K707" i="14" s="1"/>
  <c r="J706" i="14"/>
  <c r="K706" i="14" s="1"/>
  <c r="J705" i="14"/>
  <c r="K705" i="14" s="1"/>
  <c r="J704" i="14"/>
  <c r="K704" i="14" s="1"/>
  <c r="J703" i="14"/>
  <c r="K703" i="14" s="1"/>
  <c r="J702" i="14"/>
  <c r="K702" i="14" s="1"/>
  <c r="J701" i="14"/>
  <c r="K701" i="14" s="1"/>
  <c r="J700" i="14"/>
  <c r="K700" i="14" s="1"/>
  <c r="J699" i="14"/>
  <c r="K699" i="14" s="1"/>
  <c r="J769" i="14"/>
  <c r="K769" i="14" s="1"/>
  <c r="J749" i="14"/>
  <c r="K749" i="14" s="1"/>
  <c r="I693" i="14"/>
  <c r="J693" i="14" s="1"/>
  <c r="K693" i="14" s="1"/>
  <c r="I691" i="14"/>
  <c r="J691" i="14" s="1"/>
  <c r="K691" i="14" s="1"/>
  <c r="I689" i="14"/>
  <c r="J689" i="14" s="1"/>
  <c r="K689" i="14" s="1"/>
  <c r="I687" i="14"/>
  <c r="J687" i="14" s="1"/>
  <c r="K687" i="14" s="1"/>
  <c r="I686" i="14"/>
  <c r="J686" i="14" s="1"/>
  <c r="K686" i="14" s="1"/>
  <c r="D682" i="14"/>
  <c r="H682" i="14" s="1"/>
  <c r="J682" i="14" s="1"/>
  <c r="K682" i="14" s="1"/>
  <c r="D681" i="14"/>
  <c r="H681" i="14" s="1"/>
  <c r="J681" i="14" s="1"/>
  <c r="K681" i="14" s="1"/>
  <c r="G1101" i="14"/>
  <c r="K1101" i="14" s="1"/>
  <c r="D1100" i="14"/>
  <c r="G1100" i="14" s="1"/>
  <c r="K1100" i="14" s="1"/>
  <c r="D1099" i="14"/>
  <c r="G1099" i="14" s="1"/>
  <c r="K1099" i="14" s="1"/>
  <c r="D671" i="14"/>
  <c r="H671" i="14" s="1"/>
  <c r="J671" i="14" s="1"/>
  <c r="K671" i="14" s="1"/>
  <c r="D670" i="14"/>
  <c r="H670" i="14" s="1"/>
  <c r="J670" i="14" s="1"/>
  <c r="K670" i="14" s="1"/>
  <c r="D669" i="14"/>
  <c r="H669" i="14" s="1"/>
  <c r="J669" i="14" s="1"/>
  <c r="K669" i="14" s="1"/>
  <c r="D665" i="14"/>
  <c r="H665" i="14" s="1"/>
  <c r="J665" i="14" s="1"/>
  <c r="K665" i="14" s="1"/>
  <c r="D666" i="14"/>
  <c r="H666" i="14" s="1"/>
  <c r="J666" i="14" s="1"/>
  <c r="K666" i="14" s="1"/>
  <c r="H568" i="14"/>
  <c r="J568" i="14" s="1"/>
  <c r="K568" i="14" s="1"/>
  <c r="D664" i="14"/>
  <c r="H664" i="14" s="1"/>
  <c r="J664" i="14" s="1"/>
  <c r="K664" i="14" s="1"/>
  <c r="H564" i="14"/>
  <c r="J564" i="14" s="1"/>
  <c r="K564" i="14" s="1"/>
  <c r="D656" i="14"/>
  <c r="H656" i="14" s="1"/>
  <c r="J656" i="14" s="1"/>
  <c r="K656" i="14" s="1"/>
  <c r="H655" i="14"/>
  <c r="J655" i="14" s="1"/>
  <c r="K655" i="14" s="1"/>
  <c r="H654" i="14"/>
  <c r="J654" i="14" s="1"/>
  <c r="K654" i="14" s="1"/>
  <c r="D653" i="14"/>
  <c r="H653" i="14" s="1"/>
  <c r="J653" i="14" s="1"/>
  <c r="K653" i="14" s="1"/>
  <c r="D676" i="14"/>
  <c r="H676" i="14" s="1"/>
  <c r="J676" i="14" s="1"/>
  <c r="K676" i="14" s="1"/>
  <c r="D638" i="14"/>
  <c r="H638" i="14" s="1"/>
  <c r="J638" i="14" s="1"/>
  <c r="K638" i="14" s="1"/>
  <c r="D679" i="14"/>
  <c r="H679" i="14" s="1"/>
  <c r="J679" i="14" s="1"/>
  <c r="K679" i="14" s="1"/>
  <c r="D648" i="14"/>
  <c r="H648" i="14" s="1"/>
  <c r="J648" i="14" s="1"/>
  <c r="K648" i="14" s="1"/>
  <c r="D678" i="14"/>
  <c r="H678" i="14" s="1"/>
  <c r="J678" i="14" s="1"/>
  <c r="K678" i="14" s="1"/>
  <c r="D677" i="14"/>
  <c r="H677" i="14" s="1"/>
  <c r="J677" i="14" s="1"/>
  <c r="K677" i="14" s="1"/>
  <c r="D675" i="14"/>
  <c r="H675" i="14" s="1"/>
  <c r="J675" i="14" s="1"/>
  <c r="K675" i="14" s="1"/>
  <c r="D647" i="14"/>
  <c r="H647" i="14" s="1"/>
  <c r="J647" i="14" s="1"/>
  <c r="K647" i="14" s="1"/>
  <c r="D646" i="14"/>
  <c r="H646" i="14" s="1"/>
  <c r="J646" i="14" s="1"/>
  <c r="K646" i="14" s="1"/>
  <c r="D672" i="14"/>
  <c r="H672" i="14" s="1"/>
  <c r="J672" i="14" s="1"/>
  <c r="K672" i="14" s="1"/>
  <c r="D643" i="14"/>
  <c r="H643" i="14" s="1"/>
  <c r="J643" i="14" s="1"/>
  <c r="K643" i="14" s="1"/>
  <c r="D642" i="14"/>
  <c r="H642" i="14" s="1"/>
  <c r="J642" i="14" s="1"/>
  <c r="K642" i="14" s="1"/>
  <c r="D639" i="14"/>
  <c r="H639" i="14" s="1"/>
  <c r="J639" i="14" s="1"/>
  <c r="K639" i="14" s="1"/>
  <c r="D637" i="14"/>
  <c r="H637" i="14" s="1"/>
  <c r="J637" i="14" s="1"/>
  <c r="K637" i="14" s="1"/>
  <c r="D663" i="14"/>
  <c r="H663" i="14" s="1"/>
  <c r="J663" i="14" s="1"/>
  <c r="K663" i="14" s="1"/>
  <c r="D662" i="14"/>
  <c r="H662" i="14" s="1"/>
  <c r="J662" i="14" s="1"/>
  <c r="K662" i="14" s="1"/>
  <c r="I458" i="14"/>
  <c r="J458" i="14" s="1"/>
  <c r="K458" i="14" s="1"/>
  <c r="H628" i="14"/>
  <c r="J628" i="14" s="1"/>
  <c r="K628" i="14" s="1"/>
  <c r="H627" i="14"/>
  <c r="J627" i="14" s="1"/>
  <c r="K627" i="14" s="1"/>
  <c r="H624" i="14"/>
  <c r="J624" i="14" s="1"/>
  <c r="K624" i="14" s="1"/>
  <c r="E29" i="48" l="1"/>
  <c r="F29" i="48"/>
  <c r="F32" i="48"/>
  <c r="D32" i="48"/>
  <c r="E32" i="48"/>
  <c r="H29" i="48"/>
  <c r="I29" i="48"/>
  <c r="J29" i="48"/>
  <c r="C13" i="48"/>
  <c r="D259" i="32"/>
  <c r="C14" i="48"/>
  <c r="D264" i="32"/>
  <c r="C19" i="48"/>
  <c r="C24" i="48"/>
  <c r="C26" i="48"/>
  <c r="C25" i="48"/>
  <c r="D268" i="32"/>
  <c r="D270" i="32"/>
  <c r="D271" i="32"/>
  <c r="D269" i="32"/>
  <c r="K958" i="14"/>
  <c r="H835" i="14" s="1"/>
  <c r="K835" i="14" s="1"/>
  <c r="K980" i="14"/>
  <c r="M779" i="14"/>
  <c r="E70" i="32" s="1"/>
  <c r="G70" i="32" s="1"/>
  <c r="M697" i="14"/>
  <c r="E65" i="32" s="1"/>
  <c r="G65" i="32" s="1"/>
  <c r="K684" i="14"/>
  <c r="M684" i="14" s="1"/>
  <c r="E64" i="32" s="1"/>
  <c r="G64" i="32" s="1"/>
  <c r="M1098" i="14"/>
  <c r="D548" i="14"/>
  <c r="D549" i="14"/>
  <c r="K626" i="14"/>
  <c r="L626" i="14" s="1"/>
  <c r="H658" i="14" s="1"/>
  <c r="J658" i="14" s="1"/>
  <c r="K658" i="14" s="1"/>
  <c r="I455" i="14"/>
  <c r="J455" i="14" s="1"/>
  <c r="K455" i="14" s="1"/>
  <c r="I454" i="14"/>
  <c r="J454" i="14" s="1"/>
  <c r="K454" i="14" s="1"/>
  <c r="I451" i="14"/>
  <c r="J451" i="14" s="1"/>
  <c r="K451" i="14" s="1"/>
  <c r="I505" i="14"/>
  <c r="J505" i="14" s="1"/>
  <c r="K505" i="14" s="1"/>
  <c r="I506" i="14"/>
  <c r="J506" i="14" s="1"/>
  <c r="K506" i="14" s="1"/>
  <c r="I504" i="14"/>
  <c r="J504" i="14" s="1"/>
  <c r="K504" i="14" s="1"/>
  <c r="H544" i="14"/>
  <c r="J544" i="14" s="1"/>
  <c r="K544" i="14" s="1"/>
  <c r="K542" i="14" s="1"/>
  <c r="H540" i="14"/>
  <c r="J540" i="14" s="1"/>
  <c r="K540" i="14" s="1"/>
  <c r="K539" i="14" s="1"/>
  <c r="H623" i="14"/>
  <c r="J623" i="14" s="1"/>
  <c r="K623" i="14" s="1"/>
  <c r="H619" i="14"/>
  <c r="J619" i="14" s="1"/>
  <c r="K619" i="14" s="1"/>
  <c r="H618" i="14"/>
  <c r="J618" i="14" s="1"/>
  <c r="K618" i="14" s="1"/>
  <c r="H617" i="14"/>
  <c r="J617" i="14" s="1"/>
  <c r="K617" i="14" s="1"/>
  <c r="H616" i="14"/>
  <c r="J616" i="14" s="1"/>
  <c r="K616" i="14" s="1"/>
  <c r="H615" i="14"/>
  <c r="J615" i="14" s="1"/>
  <c r="K615" i="14" s="1"/>
  <c r="H614" i="14"/>
  <c r="J614" i="14" s="1"/>
  <c r="K614" i="14" s="1"/>
  <c r="H609" i="14"/>
  <c r="J609" i="14" s="1"/>
  <c r="K609" i="14" s="1"/>
  <c r="H605" i="14"/>
  <c r="J605" i="14" s="1"/>
  <c r="K605" i="14" s="1"/>
  <c r="H611" i="14"/>
  <c r="J611" i="14" s="1"/>
  <c r="K611" i="14" s="1"/>
  <c r="H610" i="14"/>
  <c r="J610" i="14" s="1"/>
  <c r="K610" i="14" s="1"/>
  <c r="H608" i="14"/>
  <c r="J608" i="14" s="1"/>
  <c r="K608" i="14" s="1"/>
  <c r="H607" i="14"/>
  <c r="J607" i="14" s="1"/>
  <c r="K607" i="14" s="1"/>
  <c r="H606" i="14"/>
  <c r="J606" i="14" s="1"/>
  <c r="K606" i="14" s="1"/>
  <c r="H604" i="14"/>
  <c r="J604" i="14" s="1"/>
  <c r="K604" i="14" s="1"/>
  <c r="H600" i="14"/>
  <c r="J600" i="14" s="1"/>
  <c r="K600" i="14" s="1"/>
  <c r="H599" i="14"/>
  <c r="J599" i="14" s="1"/>
  <c r="K599" i="14" s="1"/>
  <c r="H598" i="14"/>
  <c r="J598" i="14" s="1"/>
  <c r="K598" i="14" s="1"/>
  <c r="H597" i="14"/>
  <c r="J597" i="14" s="1"/>
  <c r="K597" i="14" s="1"/>
  <c r="H596" i="14"/>
  <c r="J596" i="14" s="1"/>
  <c r="K596" i="14" s="1"/>
  <c r="H595" i="14"/>
  <c r="J595" i="14" s="1"/>
  <c r="K595" i="14" s="1"/>
  <c r="H594" i="14"/>
  <c r="J594" i="14" s="1"/>
  <c r="K594" i="14" s="1"/>
  <c r="H593" i="14"/>
  <c r="J593" i="14" s="1"/>
  <c r="K593" i="14" s="1"/>
  <c r="H592" i="14"/>
  <c r="J592" i="14" s="1"/>
  <c r="K592" i="14" s="1"/>
  <c r="H532" i="14"/>
  <c r="J532" i="14" s="1"/>
  <c r="K532" i="14" s="1"/>
  <c r="H537" i="14"/>
  <c r="J537" i="14" s="1"/>
  <c r="K537" i="14" s="1"/>
  <c r="H536" i="14"/>
  <c r="J536" i="14" s="1"/>
  <c r="K536" i="14" s="1"/>
  <c r="H531" i="14"/>
  <c r="J531" i="14" s="1"/>
  <c r="K531" i="14" s="1"/>
  <c r="H530" i="14"/>
  <c r="J530" i="14" s="1"/>
  <c r="K530" i="14" s="1"/>
  <c r="H529" i="14"/>
  <c r="J529" i="14" s="1"/>
  <c r="K529" i="14" s="1"/>
  <c r="H526" i="14"/>
  <c r="J526" i="14" s="1"/>
  <c r="K526" i="14" s="1"/>
  <c r="H520" i="14"/>
  <c r="J520" i="14" s="1"/>
  <c r="K520" i="14" s="1"/>
  <c r="H519" i="14"/>
  <c r="J519" i="14" s="1"/>
  <c r="K519" i="14" s="1"/>
  <c r="H525" i="14"/>
  <c r="J525" i="14" s="1"/>
  <c r="K525" i="14" s="1"/>
  <c r="H518" i="14"/>
  <c r="J518" i="14" s="1"/>
  <c r="K518" i="14" s="1"/>
  <c r="H577" i="14"/>
  <c r="J577" i="14" s="1"/>
  <c r="K577" i="14" s="1"/>
  <c r="H576" i="14"/>
  <c r="J576" i="14" s="1"/>
  <c r="K576" i="14" s="1"/>
  <c r="H575" i="14"/>
  <c r="J575" i="14" s="1"/>
  <c r="K575" i="14" s="1"/>
  <c r="H572" i="14"/>
  <c r="J572" i="14" s="1"/>
  <c r="K572" i="14" s="1"/>
  <c r="H589" i="14"/>
  <c r="J589" i="14" s="1"/>
  <c r="K589" i="14" s="1"/>
  <c r="H588" i="14"/>
  <c r="J588" i="14" s="1"/>
  <c r="K588" i="14" s="1"/>
  <c r="H587" i="14"/>
  <c r="J587" i="14" s="1"/>
  <c r="K587" i="14" s="1"/>
  <c r="H586" i="14"/>
  <c r="J586" i="14" s="1"/>
  <c r="K586" i="14" s="1"/>
  <c r="H585" i="14"/>
  <c r="J585" i="14" s="1"/>
  <c r="K585" i="14" s="1"/>
  <c r="H584" i="14"/>
  <c r="J584" i="14" s="1"/>
  <c r="K584" i="14" s="1"/>
  <c r="H580" i="14"/>
  <c r="J580" i="14" s="1"/>
  <c r="K580" i="14" s="1"/>
  <c r="H579" i="14"/>
  <c r="J579" i="14" s="1"/>
  <c r="K579" i="14" s="1"/>
  <c r="H578" i="14"/>
  <c r="J578" i="14" s="1"/>
  <c r="K578" i="14" s="1"/>
  <c r="H574" i="14"/>
  <c r="J574" i="14" s="1"/>
  <c r="K574" i="14" s="1"/>
  <c r="H573" i="14"/>
  <c r="J573" i="14" s="1"/>
  <c r="K573" i="14" s="1"/>
  <c r="H569" i="14"/>
  <c r="J569" i="14" s="1"/>
  <c r="K569" i="14" s="1"/>
  <c r="H567" i="14"/>
  <c r="J567" i="14" s="1"/>
  <c r="K567" i="14" s="1"/>
  <c r="H566" i="14"/>
  <c r="J566" i="14" s="1"/>
  <c r="K566" i="14" s="1"/>
  <c r="H565" i="14"/>
  <c r="J565" i="14" s="1"/>
  <c r="K565" i="14" s="1"/>
  <c r="H563" i="14"/>
  <c r="J563" i="14" s="1"/>
  <c r="K563" i="14" s="1"/>
  <c r="H558" i="14"/>
  <c r="J558" i="14" s="1"/>
  <c r="K558" i="14" s="1"/>
  <c r="H557" i="14"/>
  <c r="J557" i="14" s="1"/>
  <c r="K557" i="14" s="1"/>
  <c r="H556" i="14"/>
  <c r="J556" i="14" s="1"/>
  <c r="K556" i="14" s="1"/>
  <c r="H555" i="14"/>
  <c r="J555" i="14" s="1"/>
  <c r="K555" i="14" s="1"/>
  <c r="H554" i="14"/>
  <c r="J554" i="14" s="1"/>
  <c r="K554" i="14" s="1"/>
  <c r="H553" i="14"/>
  <c r="J553" i="14" s="1"/>
  <c r="K553" i="14" s="1"/>
  <c r="H552" i="14"/>
  <c r="J552" i="14" s="1"/>
  <c r="K552" i="14" s="1"/>
  <c r="H551" i="14"/>
  <c r="J551" i="14" s="1"/>
  <c r="K551" i="14" s="1"/>
  <c r="H515" i="14"/>
  <c r="J515" i="14" s="1"/>
  <c r="K515" i="14" s="1"/>
  <c r="K513" i="14" s="1"/>
  <c r="H511" i="14"/>
  <c r="J511" i="14" s="1"/>
  <c r="K511" i="14" s="1"/>
  <c r="K510" i="14" s="1"/>
  <c r="I32" i="48" l="1"/>
  <c r="J32" i="48"/>
  <c r="H32" i="48"/>
  <c r="F19" i="48"/>
  <c r="E19" i="48"/>
  <c r="D19" i="48"/>
  <c r="F25" i="48"/>
  <c r="E25" i="48"/>
  <c r="D25" i="48"/>
  <c r="F26" i="48"/>
  <c r="E26" i="48"/>
  <c r="D26" i="48"/>
  <c r="F14" i="48"/>
  <c r="E14" i="48"/>
  <c r="D14" i="48"/>
  <c r="F24" i="48"/>
  <c r="D24" i="48"/>
  <c r="E24" i="48"/>
  <c r="C22" i="48"/>
  <c r="C28" i="48"/>
  <c r="D267" i="32"/>
  <c r="D273" i="32"/>
  <c r="M958" i="14"/>
  <c r="E109" i="32" s="1"/>
  <c r="G109" i="32" s="1"/>
  <c r="M980" i="14"/>
  <c r="E110" i="32" s="1"/>
  <c r="G110" i="32" s="1"/>
  <c r="H836" i="14"/>
  <c r="K836" i="14" s="1"/>
  <c r="K651" i="14"/>
  <c r="H850" i="14" s="1"/>
  <c r="J850" i="14" s="1"/>
  <c r="K850" i="14" s="1"/>
  <c r="K849" i="14" s="1"/>
  <c r="L539" i="14"/>
  <c r="K621" i="14"/>
  <c r="K591" i="14"/>
  <c r="K523" i="14"/>
  <c r="K571" i="14"/>
  <c r="K602" i="14"/>
  <c r="K613" i="14"/>
  <c r="K582" i="14"/>
  <c r="K517" i="14"/>
  <c r="K534" i="14"/>
  <c r="L510" i="14"/>
  <c r="K528" i="14"/>
  <c r="K502" i="14"/>
  <c r="I500" i="14"/>
  <c r="J500" i="14" s="1"/>
  <c r="K500" i="14" s="1"/>
  <c r="I499" i="14"/>
  <c r="J499" i="14" s="1"/>
  <c r="K499" i="14" s="1"/>
  <c r="I498" i="14"/>
  <c r="J498" i="14" s="1"/>
  <c r="K498" i="14" s="1"/>
  <c r="I497" i="14"/>
  <c r="J497" i="14" s="1"/>
  <c r="K497" i="14" s="1"/>
  <c r="I496" i="14"/>
  <c r="J496" i="14" s="1"/>
  <c r="K496" i="14" s="1"/>
  <c r="I495" i="14"/>
  <c r="J495" i="14" s="1"/>
  <c r="K495" i="14" s="1"/>
  <c r="I494" i="14"/>
  <c r="J494" i="14" s="1"/>
  <c r="K494" i="14" s="1"/>
  <c r="I493" i="14"/>
  <c r="J493" i="14" s="1"/>
  <c r="K493" i="14" s="1"/>
  <c r="I492" i="14"/>
  <c r="J492" i="14" s="1"/>
  <c r="K492" i="14" s="1"/>
  <c r="I491" i="14"/>
  <c r="J491" i="14" s="1"/>
  <c r="K491" i="14" s="1"/>
  <c r="I490" i="14"/>
  <c r="J490" i="14" s="1"/>
  <c r="K490" i="14" s="1"/>
  <c r="I489" i="14"/>
  <c r="J489" i="14" s="1"/>
  <c r="K489" i="14" s="1"/>
  <c r="I488" i="14"/>
  <c r="J488" i="14" s="1"/>
  <c r="K488" i="14" s="1"/>
  <c r="I487" i="14"/>
  <c r="J487" i="14" s="1"/>
  <c r="K487" i="14" s="1"/>
  <c r="I486" i="14"/>
  <c r="J486" i="14" s="1"/>
  <c r="K486" i="14" s="1"/>
  <c r="I485" i="14"/>
  <c r="J485" i="14" s="1"/>
  <c r="K485" i="14" s="1"/>
  <c r="I484" i="14"/>
  <c r="J484" i="14" s="1"/>
  <c r="K484" i="14" s="1"/>
  <c r="I483" i="14"/>
  <c r="J483" i="14" s="1"/>
  <c r="K483" i="14" s="1"/>
  <c r="I482" i="14"/>
  <c r="J482" i="14" s="1"/>
  <c r="K482" i="14" s="1"/>
  <c r="I481" i="14"/>
  <c r="J481" i="14" s="1"/>
  <c r="K481" i="14" s="1"/>
  <c r="I480" i="14"/>
  <c r="J480" i="14" s="1"/>
  <c r="K480" i="14" s="1"/>
  <c r="I479" i="14"/>
  <c r="J479" i="14" s="1"/>
  <c r="K479" i="14" s="1"/>
  <c r="I478" i="14"/>
  <c r="J478" i="14" s="1"/>
  <c r="K478" i="14" s="1"/>
  <c r="I477" i="14"/>
  <c r="J477" i="14" s="1"/>
  <c r="K477" i="14" s="1"/>
  <c r="I476" i="14"/>
  <c r="J476" i="14" s="1"/>
  <c r="K476" i="14" s="1"/>
  <c r="I469" i="14"/>
  <c r="J469" i="14" s="1"/>
  <c r="K469" i="14" s="1"/>
  <c r="I468" i="14"/>
  <c r="J468" i="14" s="1"/>
  <c r="K468" i="14" s="1"/>
  <c r="I472" i="14"/>
  <c r="J472" i="14" s="1"/>
  <c r="K472" i="14" s="1"/>
  <c r="I471" i="14"/>
  <c r="J471" i="14" s="1"/>
  <c r="K471" i="14" s="1"/>
  <c r="I470" i="14"/>
  <c r="J470" i="14" s="1"/>
  <c r="K470" i="14" s="1"/>
  <c r="I467" i="14"/>
  <c r="J467" i="14" s="1"/>
  <c r="K467" i="14" s="1"/>
  <c r="I449" i="14"/>
  <c r="J449" i="14" s="1"/>
  <c r="K449" i="14" s="1"/>
  <c r="I448" i="14"/>
  <c r="J448" i="14" s="1"/>
  <c r="K448" i="14" s="1"/>
  <c r="C463" i="14"/>
  <c r="I462" i="14"/>
  <c r="J462" i="14" s="1"/>
  <c r="K462" i="14" s="1"/>
  <c r="I445" i="14"/>
  <c r="J445" i="14" s="1"/>
  <c r="K445" i="14" s="1"/>
  <c r="I444" i="14"/>
  <c r="J444" i="14" s="1"/>
  <c r="K444" i="14" s="1"/>
  <c r="C440" i="14"/>
  <c r="I439" i="14"/>
  <c r="J439" i="14" s="1"/>
  <c r="K439" i="14" s="1"/>
  <c r="I438" i="14"/>
  <c r="J438" i="14" s="1"/>
  <c r="K438" i="14" s="1"/>
  <c r="I437" i="14"/>
  <c r="J437" i="14" s="1"/>
  <c r="K437" i="14" s="1"/>
  <c r="I436" i="14"/>
  <c r="J436" i="14" s="1"/>
  <c r="K436" i="14" s="1"/>
  <c r="I435" i="14"/>
  <c r="J435" i="14" s="1"/>
  <c r="K435" i="14" s="1"/>
  <c r="I434" i="14"/>
  <c r="J434" i="14" s="1"/>
  <c r="K434" i="14" s="1"/>
  <c r="I433" i="14"/>
  <c r="J433" i="14" s="1"/>
  <c r="K433" i="14" s="1"/>
  <c r="I432" i="14"/>
  <c r="J432" i="14" s="1"/>
  <c r="K432" i="14" s="1"/>
  <c r="I429" i="14"/>
  <c r="J429" i="14" s="1"/>
  <c r="K429" i="14" s="1"/>
  <c r="I426" i="14"/>
  <c r="J426" i="14" s="1"/>
  <c r="K426" i="14" s="1"/>
  <c r="I425" i="14"/>
  <c r="J425" i="14" s="1"/>
  <c r="K425" i="14" s="1"/>
  <c r="I424" i="14"/>
  <c r="J424" i="14" s="1"/>
  <c r="K424" i="14" s="1"/>
  <c r="I423" i="14"/>
  <c r="J423" i="14" s="1"/>
  <c r="K423" i="14" s="1"/>
  <c r="I422" i="14"/>
  <c r="J422" i="14" s="1"/>
  <c r="K422" i="14" s="1"/>
  <c r="I421" i="14"/>
  <c r="J421" i="14" s="1"/>
  <c r="K421" i="14" s="1"/>
  <c r="I420" i="14"/>
  <c r="J420" i="14" s="1"/>
  <c r="K420" i="14" s="1"/>
  <c r="I419" i="14"/>
  <c r="J419" i="14" s="1"/>
  <c r="K419" i="14" s="1"/>
  <c r="I418" i="14"/>
  <c r="J418" i="14" s="1"/>
  <c r="K418" i="14" s="1"/>
  <c r="I417" i="14"/>
  <c r="J417" i="14" s="1"/>
  <c r="K417" i="14" s="1"/>
  <c r="I416" i="14"/>
  <c r="J416" i="14" s="1"/>
  <c r="K416" i="14" s="1"/>
  <c r="I415" i="14"/>
  <c r="J415" i="14" s="1"/>
  <c r="K415" i="14" s="1"/>
  <c r="I414" i="14"/>
  <c r="J414" i="14" s="1"/>
  <c r="K414" i="14" s="1"/>
  <c r="I413" i="14"/>
  <c r="J413" i="14" s="1"/>
  <c r="K413" i="14" s="1"/>
  <c r="I412" i="14"/>
  <c r="J412" i="14" s="1"/>
  <c r="K412" i="14" s="1"/>
  <c r="I411" i="14"/>
  <c r="J411" i="14" s="1"/>
  <c r="K411" i="14" s="1"/>
  <c r="I410" i="14"/>
  <c r="J410" i="14" s="1"/>
  <c r="K410" i="14" s="1"/>
  <c r="I409" i="14"/>
  <c r="J409" i="14" s="1"/>
  <c r="K409" i="14" s="1"/>
  <c r="C405" i="14"/>
  <c r="I404" i="14"/>
  <c r="J404" i="14" s="1"/>
  <c r="K404" i="14" s="1"/>
  <c r="I403" i="14"/>
  <c r="J403" i="14" s="1"/>
  <c r="K403" i="14" s="1"/>
  <c r="I402" i="14"/>
  <c r="J402" i="14" s="1"/>
  <c r="K402" i="14" s="1"/>
  <c r="I401" i="14"/>
  <c r="J401" i="14" s="1"/>
  <c r="K401" i="14" s="1"/>
  <c r="I400" i="14"/>
  <c r="J400" i="14" s="1"/>
  <c r="K400" i="14" s="1"/>
  <c r="I399" i="14"/>
  <c r="J399" i="14" s="1"/>
  <c r="K399" i="14" s="1"/>
  <c r="I398" i="14"/>
  <c r="J398" i="14" s="1"/>
  <c r="K398" i="14" s="1"/>
  <c r="I397" i="14"/>
  <c r="J397" i="14" s="1"/>
  <c r="K397" i="14" s="1"/>
  <c r="I394" i="14"/>
  <c r="J394" i="14" s="1"/>
  <c r="K394" i="14" s="1"/>
  <c r="I391" i="14"/>
  <c r="J391" i="14" s="1"/>
  <c r="K391" i="14" s="1"/>
  <c r="I390" i="14"/>
  <c r="J390" i="14" s="1"/>
  <c r="K390" i="14" s="1"/>
  <c r="I389" i="14"/>
  <c r="J389" i="14" s="1"/>
  <c r="K389" i="14" s="1"/>
  <c r="I388" i="14"/>
  <c r="J388" i="14" s="1"/>
  <c r="K388" i="14" s="1"/>
  <c r="I387" i="14"/>
  <c r="J387" i="14" s="1"/>
  <c r="K387" i="14" s="1"/>
  <c r="I386" i="14"/>
  <c r="J386" i="14" s="1"/>
  <c r="K386" i="14" s="1"/>
  <c r="I385" i="14"/>
  <c r="J385" i="14" s="1"/>
  <c r="K385" i="14" s="1"/>
  <c r="I384" i="14"/>
  <c r="J384" i="14" s="1"/>
  <c r="K384" i="14" s="1"/>
  <c r="I383" i="14"/>
  <c r="J383" i="14" s="1"/>
  <c r="K383" i="14" s="1"/>
  <c r="I382" i="14"/>
  <c r="J382" i="14" s="1"/>
  <c r="K382" i="14" s="1"/>
  <c r="I381" i="14"/>
  <c r="J381" i="14" s="1"/>
  <c r="K381" i="14" s="1"/>
  <c r="I380" i="14"/>
  <c r="J380" i="14" s="1"/>
  <c r="K380" i="14" s="1"/>
  <c r="I379" i="14"/>
  <c r="J379" i="14" s="1"/>
  <c r="K379" i="14" s="1"/>
  <c r="I378" i="14"/>
  <c r="J378" i="14" s="1"/>
  <c r="K378" i="14" s="1"/>
  <c r="I377" i="14"/>
  <c r="J377" i="14" s="1"/>
  <c r="K377" i="14" s="1"/>
  <c r="I376" i="14"/>
  <c r="J376" i="14" s="1"/>
  <c r="K376" i="14" s="1"/>
  <c r="I375" i="14"/>
  <c r="J375" i="14" s="1"/>
  <c r="K375" i="14" s="1"/>
  <c r="I374" i="14"/>
  <c r="J374" i="14" s="1"/>
  <c r="K374" i="14" s="1"/>
  <c r="I367" i="14"/>
  <c r="J367" i="14" s="1"/>
  <c r="K367" i="14" s="1"/>
  <c r="I359" i="14"/>
  <c r="J359" i="14" s="1"/>
  <c r="K359" i="14" s="1"/>
  <c r="I320" i="14"/>
  <c r="J320" i="14" s="1"/>
  <c r="K320" i="14" s="1"/>
  <c r="C370" i="14"/>
  <c r="I369" i="14"/>
  <c r="J369" i="14" s="1"/>
  <c r="K369" i="14" s="1"/>
  <c r="I368" i="14"/>
  <c r="J368" i="14" s="1"/>
  <c r="K368" i="14" s="1"/>
  <c r="I366" i="14"/>
  <c r="J366" i="14" s="1"/>
  <c r="K366" i="14" s="1"/>
  <c r="I365" i="14"/>
  <c r="J365" i="14" s="1"/>
  <c r="K365" i="14" s="1"/>
  <c r="I364" i="14"/>
  <c r="J364" i="14" s="1"/>
  <c r="K364" i="14" s="1"/>
  <c r="I363" i="14"/>
  <c r="J363" i="14" s="1"/>
  <c r="K363" i="14" s="1"/>
  <c r="I362" i="14"/>
  <c r="J362" i="14" s="1"/>
  <c r="K362" i="14" s="1"/>
  <c r="I356" i="14"/>
  <c r="J356" i="14" s="1"/>
  <c r="K356" i="14" s="1"/>
  <c r="I355" i="14"/>
  <c r="J355" i="14" s="1"/>
  <c r="K355" i="14" s="1"/>
  <c r="I354" i="14"/>
  <c r="J354" i="14" s="1"/>
  <c r="K354" i="14" s="1"/>
  <c r="I353" i="14"/>
  <c r="J353" i="14" s="1"/>
  <c r="K353" i="14" s="1"/>
  <c r="I352" i="14"/>
  <c r="J352" i="14" s="1"/>
  <c r="K352" i="14" s="1"/>
  <c r="I351" i="14"/>
  <c r="J351" i="14" s="1"/>
  <c r="K351" i="14" s="1"/>
  <c r="I350" i="14"/>
  <c r="J350" i="14" s="1"/>
  <c r="K350" i="14" s="1"/>
  <c r="I349" i="14"/>
  <c r="J349" i="14" s="1"/>
  <c r="K349" i="14" s="1"/>
  <c r="I348" i="14"/>
  <c r="J348" i="14" s="1"/>
  <c r="K348" i="14" s="1"/>
  <c r="I347" i="14"/>
  <c r="J347" i="14" s="1"/>
  <c r="K347" i="14" s="1"/>
  <c r="I346" i="14"/>
  <c r="J346" i="14" s="1"/>
  <c r="K346" i="14" s="1"/>
  <c r="I345" i="14"/>
  <c r="J345" i="14" s="1"/>
  <c r="K345" i="14" s="1"/>
  <c r="I344" i="14"/>
  <c r="J344" i="14" s="1"/>
  <c r="K344" i="14" s="1"/>
  <c r="I343" i="14"/>
  <c r="J343" i="14" s="1"/>
  <c r="K343" i="14" s="1"/>
  <c r="I342" i="14"/>
  <c r="J342" i="14" s="1"/>
  <c r="K342" i="14" s="1"/>
  <c r="I341" i="14"/>
  <c r="J341" i="14" s="1"/>
  <c r="K341" i="14" s="1"/>
  <c r="I340" i="14"/>
  <c r="J340" i="14" s="1"/>
  <c r="K340" i="14" s="1"/>
  <c r="I339" i="14"/>
  <c r="J339" i="14" s="1"/>
  <c r="K339" i="14" s="1"/>
  <c r="C336" i="14"/>
  <c r="I335" i="14"/>
  <c r="J335" i="14" s="1"/>
  <c r="K335" i="14" s="1"/>
  <c r="I334" i="14"/>
  <c r="J334" i="14" s="1"/>
  <c r="K334" i="14" s="1"/>
  <c r="I333" i="14"/>
  <c r="J333" i="14" s="1"/>
  <c r="K333" i="14" s="1"/>
  <c r="I332" i="14"/>
  <c r="J332" i="14" s="1"/>
  <c r="K332" i="14" s="1"/>
  <c r="I331" i="14"/>
  <c r="J331" i="14" s="1"/>
  <c r="K331" i="14" s="1"/>
  <c r="I330" i="14"/>
  <c r="J330" i="14" s="1"/>
  <c r="K330" i="14" s="1"/>
  <c r="I329" i="14"/>
  <c r="J329" i="14" s="1"/>
  <c r="K329" i="14" s="1"/>
  <c r="I328" i="14"/>
  <c r="J328" i="14" s="1"/>
  <c r="K328" i="14" s="1"/>
  <c r="I327" i="14"/>
  <c r="J327" i="14" s="1"/>
  <c r="K327" i="14" s="1"/>
  <c r="I326" i="14"/>
  <c r="J326" i="14" s="1"/>
  <c r="K326" i="14" s="1"/>
  <c r="I325" i="14"/>
  <c r="J325" i="14" s="1"/>
  <c r="K325" i="14" s="1"/>
  <c r="I324" i="14"/>
  <c r="J324" i="14" s="1"/>
  <c r="K324" i="14" s="1"/>
  <c r="I323" i="14"/>
  <c r="J323" i="14" s="1"/>
  <c r="K323" i="14" s="1"/>
  <c r="I317" i="14"/>
  <c r="J317" i="14" s="1"/>
  <c r="K317" i="14" s="1"/>
  <c r="I316" i="14"/>
  <c r="J316" i="14" s="1"/>
  <c r="K316" i="14" s="1"/>
  <c r="I315" i="14"/>
  <c r="J315" i="14" s="1"/>
  <c r="K315" i="14" s="1"/>
  <c r="I314" i="14"/>
  <c r="J314" i="14" s="1"/>
  <c r="K314" i="14" s="1"/>
  <c r="I313" i="14"/>
  <c r="J313" i="14" s="1"/>
  <c r="K313" i="14" s="1"/>
  <c r="I312" i="14"/>
  <c r="J312" i="14" s="1"/>
  <c r="K312" i="14" s="1"/>
  <c r="I311" i="14"/>
  <c r="J311" i="14" s="1"/>
  <c r="K311" i="14" s="1"/>
  <c r="I310" i="14"/>
  <c r="J310" i="14" s="1"/>
  <c r="K310" i="14" s="1"/>
  <c r="I309" i="14"/>
  <c r="J309" i="14" s="1"/>
  <c r="K309" i="14" s="1"/>
  <c r="I308" i="14"/>
  <c r="J308" i="14" s="1"/>
  <c r="K308" i="14" s="1"/>
  <c r="I307" i="14"/>
  <c r="J307" i="14" s="1"/>
  <c r="K307" i="14" s="1"/>
  <c r="I306" i="14"/>
  <c r="J306" i="14" s="1"/>
  <c r="K306" i="14" s="1"/>
  <c r="I305" i="14"/>
  <c r="J305" i="14" s="1"/>
  <c r="K305" i="14" s="1"/>
  <c r="I304" i="14"/>
  <c r="J304" i="14" s="1"/>
  <c r="K304" i="14" s="1"/>
  <c r="I303" i="14"/>
  <c r="J303" i="14" s="1"/>
  <c r="K303" i="14" s="1"/>
  <c r="I302" i="14"/>
  <c r="J302" i="14" s="1"/>
  <c r="K302" i="14" s="1"/>
  <c r="I301" i="14"/>
  <c r="J301" i="14" s="1"/>
  <c r="K301" i="14" s="1"/>
  <c r="I300" i="14"/>
  <c r="J300" i="14" s="1"/>
  <c r="K300" i="14" s="1"/>
  <c r="I238" i="14"/>
  <c r="J238" i="14" s="1"/>
  <c r="K238" i="14" s="1"/>
  <c r="I237" i="14"/>
  <c r="J237" i="14" s="1"/>
  <c r="K237" i="14" s="1"/>
  <c r="I236" i="14"/>
  <c r="J236" i="14" s="1"/>
  <c r="K236" i="14" s="1"/>
  <c r="I235" i="14"/>
  <c r="J235" i="14" s="1"/>
  <c r="K235" i="14" s="1"/>
  <c r="I234" i="14"/>
  <c r="J234" i="14" s="1"/>
  <c r="K234" i="14" s="1"/>
  <c r="G95" i="32" l="1"/>
  <c r="H24" i="48"/>
  <c r="I24" i="48"/>
  <c r="J24" i="48"/>
  <c r="I26" i="48"/>
  <c r="H26" i="48"/>
  <c r="J26" i="48"/>
  <c r="I19" i="48"/>
  <c r="H19" i="48"/>
  <c r="J19" i="48"/>
  <c r="F22" i="48"/>
  <c r="E22" i="48"/>
  <c r="D22" i="48"/>
  <c r="F28" i="48"/>
  <c r="E28" i="48"/>
  <c r="D28" i="48"/>
  <c r="H14" i="48"/>
  <c r="I14" i="48"/>
  <c r="J14" i="48"/>
  <c r="H25" i="48"/>
  <c r="I25" i="48"/>
  <c r="J25" i="48"/>
  <c r="E13" i="48"/>
  <c r="F13" i="48"/>
  <c r="D13" i="48"/>
  <c r="C266" i="32"/>
  <c r="M651" i="14"/>
  <c r="E63" i="32" s="1"/>
  <c r="G63" i="32" s="1"/>
  <c r="H842" i="14"/>
  <c r="K842" i="14" s="1"/>
  <c r="K442" i="14"/>
  <c r="L517" i="14"/>
  <c r="L613" i="14"/>
  <c r="L591" i="14"/>
  <c r="L528" i="14"/>
  <c r="M233" i="14"/>
  <c r="E50" i="32" s="1"/>
  <c r="G50" i="32" s="1"/>
  <c r="K465" i="14"/>
  <c r="L571" i="14"/>
  <c r="K298" i="14"/>
  <c r="K337" i="14"/>
  <c r="K372" i="14"/>
  <c r="K407" i="14"/>
  <c r="K474" i="14"/>
  <c r="H231" i="14"/>
  <c r="J231" i="14" s="1"/>
  <c r="K231" i="14" s="1"/>
  <c r="H230" i="14"/>
  <c r="J230" i="14" s="1"/>
  <c r="K230" i="14" s="1"/>
  <c r="H229" i="14"/>
  <c r="J229" i="14" s="1"/>
  <c r="K229" i="14" s="1"/>
  <c r="H228" i="14"/>
  <c r="J228" i="14" s="1"/>
  <c r="K228" i="14" s="1"/>
  <c r="H227" i="14"/>
  <c r="J227" i="14" s="1"/>
  <c r="K227" i="14" s="1"/>
  <c r="H226" i="14"/>
  <c r="J226" i="14" s="1"/>
  <c r="K226" i="14" s="1"/>
  <c r="H225" i="14"/>
  <c r="J225" i="14" s="1"/>
  <c r="K225" i="14" s="1"/>
  <c r="H224" i="14"/>
  <c r="J224" i="14" s="1"/>
  <c r="K224" i="14" s="1"/>
  <c r="H223" i="14"/>
  <c r="J223" i="14" s="1"/>
  <c r="K223" i="14" s="1"/>
  <c r="H222" i="14"/>
  <c r="J222" i="14" s="1"/>
  <c r="K222" i="14" s="1"/>
  <c r="H221" i="14"/>
  <c r="J221" i="14" s="1"/>
  <c r="K221" i="14" s="1"/>
  <c r="H220" i="14"/>
  <c r="J220" i="14" s="1"/>
  <c r="K220" i="14" s="1"/>
  <c r="H219" i="14"/>
  <c r="J219" i="14" s="1"/>
  <c r="K219" i="14" s="1"/>
  <c r="H218" i="14"/>
  <c r="J218" i="14" s="1"/>
  <c r="K218" i="14" s="1"/>
  <c r="H217" i="14"/>
  <c r="J217" i="14" s="1"/>
  <c r="K217" i="14" s="1"/>
  <c r="H216" i="14"/>
  <c r="J216" i="14" s="1"/>
  <c r="K216" i="14" s="1"/>
  <c r="H215" i="14"/>
  <c r="J215" i="14" s="1"/>
  <c r="K215" i="14" s="1"/>
  <c r="H141" i="14"/>
  <c r="J141" i="14" s="1"/>
  <c r="K141" i="14" s="1"/>
  <c r="H142" i="14"/>
  <c r="J142" i="14" s="1"/>
  <c r="K142" i="14" s="1"/>
  <c r="H143" i="14"/>
  <c r="J143" i="14" s="1"/>
  <c r="K143" i="14" s="1"/>
  <c r="H144" i="14"/>
  <c r="J144" i="14" s="1"/>
  <c r="K144" i="14" s="1"/>
  <c r="H145" i="14"/>
  <c r="J145" i="14" s="1"/>
  <c r="K145" i="14" s="1"/>
  <c r="H146" i="14"/>
  <c r="J146" i="14" s="1"/>
  <c r="K146" i="14" s="1"/>
  <c r="H147" i="14"/>
  <c r="J147" i="14" s="1"/>
  <c r="K147" i="14" s="1"/>
  <c r="H148" i="14"/>
  <c r="J148" i="14" s="1"/>
  <c r="K148" i="14" s="1"/>
  <c r="H149" i="14"/>
  <c r="J149" i="14" s="1"/>
  <c r="K149" i="14" s="1"/>
  <c r="H150" i="14"/>
  <c r="J150" i="14" s="1"/>
  <c r="K150" i="14" s="1"/>
  <c r="H151" i="14"/>
  <c r="J151" i="14" s="1"/>
  <c r="K151" i="14" s="1"/>
  <c r="H152" i="14"/>
  <c r="J152" i="14" s="1"/>
  <c r="K152" i="14" s="1"/>
  <c r="H153" i="14"/>
  <c r="J153" i="14" s="1"/>
  <c r="K153" i="14" s="1"/>
  <c r="H154" i="14"/>
  <c r="J154" i="14" s="1"/>
  <c r="K154" i="14" s="1"/>
  <c r="H155" i="14"/>
  <c r="J155" i="14" s="1"/>
  <c r="K155" i="14" s="1"/>
  <c r="H156" i="14"/>
  <c r="J156" i="14" s="1"/>
  <c r="K156" i="14" s="1"/>
  <c r="H157" i="14"/>
  <c r="J157" i="14" s="1"/>
  <c r="K157" i="14" s="1"/>
  <c r="H158" i="14"/>
  <c r="J158" i="14" s="1"/>
  <c r="K158" i="14" s="1"/>
  <c r="H159" i="14"/>
  <c r="J159" i="14" s="1"/>
  <c r="K159" i="14" s="1"/>
  <c r="H160" i="14"/>
  <c r="J160" i="14" s="1"/>
  <c r="K160" i="14" s="1"/>
  <c r="H161" i="14"/>
  <c r="J161" i="14" s="1"/>
  <c r="K161" i="14" s="1"/>
  <c r="H162" i="14"/>
  <c r="J162" i="14" s="1"/>
  <c r="H163" i="14"/>
  <c r="J163" i="14" s="1"/>
  <c r="H164" i="14"/>
  <c r="J164" i="14" s="1"/>
  <c r="K164" i="14" s="1"/>
  <c r="H165" i="14"/>
  <c r="J165" i="14" s="1"/>
  <c r="K165" i="14" s="1"/>
  <c r="H166" i="14"/>
  <c r="J166" i="14" s="1"/>
  <c r="K166" i="14" s="1"/>
  <c r="H167" i="14"/>
  <c r="J167" i="14" s="1"/>
  <c r="K167" i="14" s="1"/>
  <c r="H168" i="14"/>
  <c r="J168" i="14" s="1"/>
  <c r="K168" i="14" s="1"/>
  <c r="H169" i="14"/>
  <c r="J169" i="14" s="1"/>
  <c r="K169" i="14" s="1"/>
  <c r="H170" i="14"/>
  <c r="J170" i="14" s="1"/>
  <c r="K170" i="14" s="1"/>
  <c r="H171" i="14"/>
  <c r="J171" i="14" s="1"/>
  <c r="K171" i="14" s="1"/>
  <c r="H172" i="14"/>
  <c r="J172" i="14" s="1"/>
  <c r="K172" i="14" s="1"/>
  <c r="H173" i="14"/>
  <c r="J173" i="14" s="1"/>
  <c r="K173" i="14" s="1"/>
  <c r="H174" i="14"/>
  <c r="J174" i="14" s="1"/>
  <c r="K174" i="14" s="1"/>
  <c r="H175" i="14"/>
  <c r="J175" i="14" s="1"/>
  <c r="K175" i="14" s="1"/>
  <c r="H176" i="14"/>
  <c r="J176" i="14" s="1"/>
  <c r="K176" i="14" s="1"/>
  <c r="H177" i="14"/>
  <c r="J177" i="14" s="1"/>
  <c r="K177" i="14" s="1"/>
  <c r="H178" i="14"/>
  <c r="J178" i="14" s="1"/>
  <c r="K178" i="14" s="1"/>
  <c r="H180" i="14"/>
  <c r="J180" i="14" s="1"/>
  <c r="K180" i="14" s="1"/>
  <c r="H181" i="14"/>
  <c r="J181" i="14" s="1"/>
  <c r="K181" i="14" s="1"/>
  <c r="H182" i="14"/>
  <c r="J182" i="14" s="1"/>
  <c r="K182" i="14" s="1"/>
  <c r="H183" i="14"/>
  <c r="J183" i="14" s="1"/>
  <c r="K183" i="14" s="1"/>
  <c r="H184" i="14"/>
  <c r="J184" i="14" s="1"/>
  <c r="K184" i="14" s="1"/>
  <c r="H185" i="14"/>
  <c r="J185" i="14" s="1"/>
  <c r="K185" i="14" s="1"/>
  <c r="H186" i="14"/>
  <c r="J186" i="14" s="1"/>
  <c r="K186" i="14" s="1"/>
  <c r="H187" i="14"/>
  <c r="J187" i="14" s="1"/>
  <c r="K187" i="14" s="1"/>
  <c r="H188" i="14"/>
  <c r="J188" i="14" s="1"/>
  <c r="K188" i="14" s="1"/>
  <c r="H189" i="14"/>
  <c r="J189" i="14" s="1"/>
  <c r="K189" i="14" s="1"/>
  <c r="H190" i="14"/>
  <c r="J190" i="14" s="1"/>
  <c r="K190" i="14" s="1"/>
  <c r="H191" i="14"/>
  <c r="J191" i="14" s="1"/>
  <c r="K191" i="14" s="1"/>
  <c r="H192" i="14"/>
  <c r="J192" i="14" s="1"/>
  <c r="K192" i="14" s="1"/>
  <c r="H193" i="14"/>
  <c r="J193" i="14" s="1"/>
  <c r="K193" i="14" s="1"/>
  <c r="H194" i="14"/>
  <c r="J194" i="14" s="1"/>
  <c r="K194" i="14" s="1"/>
  <c r="H195" i="14"/>
  <c r="J195" i="14" s="1"/>
  <c r="K195" i="14" s="1"/>
  <c r="H196" i="14"/>
  <c r="J196" i="14" s="1"/>
  <c r="K196" i="14" s="1"/>
  <c r="H140" i="14"/>
  <c r="J140" i="14" s="1"/>
  <c r="K140" i="14" s="1"/>
  <c r="D211" i="14"/>
  <c r="H211" i="14" s="1"/>
  <c r="J211" i="14" s="1"/>
  <c r="K211" i="14" s="1"/>
  <c r="D210" i="14"/>
  <c r="H210" i="14" s="1"/>
  <c r="J210" i="14" s="1"/>
  <c r="K210" i="14" s="1"/>
  <c r="D209" i="14"/>
  <c r="H209" i="14" s="1"/>
  <c r="J209" i="14" s="1"/>
  <c r="K209" i="14" s="1"/>
  <c r="D208" i="14"/>
  <c r="H208" i="14" s="1"/>
  <c r="J208" i="14" s="1"/>
  <c r="K208" i="14" s="1"/>
  <c r="D207" i="14"/>
  <c r="H207" i="14" s="1"/>
  <c r="J207" i="14" s="1"/>
  <c r="K207" i="14" s="1"/>
  <c r="D206" i="14"/>
  <c r="H206" i="14" s="1"/>
  <c r="J206" i="14" s="1"/>
  <c r="K206" i="14" s="1"/>
  <c r="D205" i="14"/>
  <c r="H205" i="14" s="1"/>
  <c r="J205" i="14" s="1"/>
  <c r="K205" i="14" s="1"/>
  <c r="D204" i="14"/>
  <c r="H204" i="14" s="1"/>
  <c r="J204" i="14" s="1"/>
  <c r="K204" i="14" s="1"/>
  <c r="D203" i="14"/>
  <c r="H203" i="14" s="1"/>
  <c r="J203" i="14" s="1"/>
  <c r="K203" i="14" s="1"/>
  <c r="D202" i="14"/>
  <c r="H202" i="14" s="1"/>
  <c r="J202" i="14" s="1"/>
  <c r="K202" i="14" s="1"/>
  <c r="D201" i="14"/>
  <c r="H201" i="14" s="1"/>
  <c r="J201" i="14" s="1"/>
  <c r="K201" i="14" s="1"/>
  <c r="D200" i="14"/>
  <c r="H200" i="14" s="1"/>
  <c r="J200" i="14" s="1"/>
  <c r="K200" i="14" s="1"/>
  <c r="D199" i="14"/>
  <c r="H199" i="14" s="1"/>
  <c r="J199" i="14" s="1"/>
  <c r="K199" i="14" s="1"/>
  <c r="C163" i="14"/>
  <c r="C162" i="14"/>
  <c r="J134" i="14"/>
  <c r="K134" i="14" s="1"/>
  <c r="J135" i="14"/>
  <c r="K135" i="14" s="1"/>
  <c r="J136" i="14"/>
  <c r="K136" i="14" s="1"/>
  <c r="J133" i="14"/>
  <c r="K133" i="14" s="1"/>
  <c r="I130" i="14"/>
  <c r="J130" i="14" s="1"/>
  <c r="K130" i="14" s="1"/>
  <c r="I129" i="14"/>
  <c r="J129" i="14" s="1"/>
  <c r="K129" i="14" s="1"/>
  <c r="I128" i="14"/>
  <c r="J128" i="14" s="1"/>
  <c r="K128" i="14" s="1"/>
  <c r="I127" i="14"/>
  <c r="J127" i="14" s="1"/>
  <c r="K127" i="14" s="1"/>
  <c r="I126" i="14"/>
  <c r="J126" i="14" s="1"/>
  <c r="K126" i="14" s="1"/>
  <c r="J13" i="48" l="1"/>
  <c r="H13" i="48"/>
  <c r="I13" i="48"/>
  <c r="J28" i="48"/>
  <c r="I28" i="48"/>
  <c r="H28" i="48"/>
  <c r="I22" i="48"/>
  <c r="H22" i="48"/>
  <c r="J22" i="48"/>
  <c r="M509" i="14"/>
  <c r="M132" i="14"/>
  <c r="E46" i="32" s="1"/>
  <c r="G46" i="32" s="1"/>
  <c r="M297" i="14"/>
  <c r="E56" i="32" s="1"/>
  <c r="M213" i="14"/>
  <c r="E49" i="32" s="1"/>
  <c r="G49" i="32" s="1"/>
  <c r="M125" i="14"/>
  <c r="E45" i="32" s="1"/>
  <c r="G45" i="32" s="1"/>
  <c r="K163" i="14"/>
  <c r="K162" i="14"/>
  <c r="E57" i="32" l="1"/>
  <c r="G57" i="32" s="1"/>
  <c r="G56" i="32"/>
  <c r="E58" i="32"/>
  <c r="G58" i="32" s="1"/>
  <c r="E60" i="32"/>
  <c r="G60" i="32" s="1"/>
  <c r="H633" i="14"/>
  <c r="M138" i="14"/>
  <c r="E48" i="32" s="1"/>
  <c r="G48" i="32" s="1"/>
  <c r="I123" i="14"/>
  <c r="J123" i="14" s="1"/>
  <c r="K123" i="14" s="1"/>
  <c r="I122" i="14"/>
  <c r="J122" i="14" s="1"/>
  <c r="K122" i="14" s="1"/>
  <c r="I121" i="14"/>
  <c r="J121" i="14" s="1"/>
  <c r="K121" i="14" s="1"/>
  <c r="I120" i="14"/>
  <c r="J120" i="14" s="1"/>
  <c r="K120" i="14" s="1"/>
  <c r="I119" i="14"/>
  <c r="J119" i="14" s="1"/>
  <c r="K119" i="14" s="1"/>
  <c r="I68" i="14"/>
  <c r="J68" i="14" s="1"/>
  <c r="K68" i="14" s="1"/>
  <c r="I67" i="14"/>
  <c r="J67" i="14" s="1"/>
  <c r="K67" i="14" s="1"/>
  <c r="I66" i="14"/>
  <c r="J66" i="14" s="1"/>
  <c r="K66" i="14" s="1"/>
  <c r="I65" i="14"/>
  <c r="J65" i="14" s="1"/>
  <c r="K65" i="14" s="1"/>
  <c r="I64" i="14"/>
  <c r="J64" i="14" s="1"/>
  <c r="K64" i="14" s="1"/>
  <c r="I63" i="14"/>
  <c r="J63" i="14" s="1"/>
  <c r="K63" i="14" s="1"/>
  <c r="I62" i="14"/>
  <c r="J62" i="14" s="1"/>
  <c r="K62" i="14" s="1"/>
  <c r="I61" i="14"/>
  <c r="J61" i="14" s="1"/>
  <c r="K61" i="14" s="1"/>
  <c r="I60" i="14"/>
  <c r="J60" i="14" s="1"/>
  <c r="K60" i="14" s="1"/>
  <c r="I59" i="14"/>
  <c r="J59" i="14" s="1"/>
  <c r="K59" i="14" s="1"/>
  <c r="I58" i="14"/>
  <c r="J58" i="14" s="1"/>
  <c r="K58" i="14" s="1"/>
  <c r="I57" i="14"/>
  <c r="J57" i="14" s="1"/>
  <c r="K57" i="14" s="1"/>
  <c r="I56" i="14"/>
  <c r="J56" i="14" s="1"/>
  <c r="K56" i="14" s="1"/>
  <c r="I55" i="14"/>
  <c r="J55" i="14" s="1"/>
  <c r="K55" i="14" s="1"/>
  <c r="I54" i="14"/>
  <c r="J54" i="14" s="1"/>
  <c r="K54" i="14" s="1"/>
  <c r="I53" i="14"/>
  <c r="J53" i="14" s="1"/>
  <c r="K53" i="14" s="1"/>
  <c r="I52" i="14"/>
  <c r="J52" i="14" s="1"/>
  <c r="K52" i="14" s="1"/>
  <c r="I49" i="14"/>
  <c r="J49" i="14" s="1"/>
  <c r="K49" i="14" s="1"/>
  <c r="I48" i="14"/>
  <c r="J48" i="14" s="1"/>
  <c r="K48" i="14" s="1"/>
  <c r="I47" i="14"/>
  <c r="J47" i="14" s="1"/>
  <c r="K47" i="14" s="1"/>
  <c r="I46" i="14"/>
  <c r="J46" i="14" s="1"/>
  <c r="K46" i="14" s="1"/>
  <c r="I45" i="14"/>
  <c r="J45" i="14" s="1"/>
  <c r="K45" i="14" s="1"/>
  <c r="I44" i="14"/>
  <c r="J44" i="14" s="1"/>
  <c r="K44" i="14" s="1"/>
  <c r="I43" i="14"/>
  <c r="J43" i="14" s="1"/>
  <c r="K43" i="14" s="1"/>
  <c r="I42" i="14"/>
  <c r="J42" i="14" s="1"/>
  <c r="K42" i="14" s="1"/>
  <c r="I41" i="14"/>
  <c r="J41" i="14" s="1"/>
  <c r="K41" i="14" s="1"/>
  <c r="I40" i="14"/>
  <c r="J40" i="14" s="1"/>
  <c r="K40" i="14" s="1"/>
  <c r="I39" i="14"/>
  <c r="J39" i="14" s="1"/>
  <c r="K39" i="14" s="1"/>
  <c r="I38" i="14"/>
  <c r="J38" i="14" s="1"/>
  <c r="K38" i="14" s="1"/>
  <c r="I37" i="14"/>
  <c r="J37" i="14" s="1"/>
  <c r="K37" i="14" s="1"/>
  <c r="I36" i="14"/>
  <c r="J36" i="14" s="1"/>
  <c r="K36" i="14" s="1"/>
  <c r="I35" i="14"/>
  <c r="J35" i="14" s="1"/>
  <c r="K35" i="14" s="1"/>
  <c r="I34" i="14"/>
  <c r="J34" i="14" s="1"/>
  <c r="K34" i="14" s="1"/>
  <c r="I116" i="14"/>
  <c r="J116" i="14" s="1"/>
  <c r="K116" i="14" s="1"/>
  <c r="I115" i="14"/>
  <c r="J115" i="14" s="1"/>
  <c r="K115" i="14" s="1"/>
  <c r="I114" i="14"/>
  <c r="J114" i="14" s="1"/>
  <c r="K114" i="14" s="1"/>
  <c r="I113" i="14"/>
  <c r="J113" i="14" s="1"/>
  <c r="K113" i="14" s="1"/>
  <c r="I112" i="14"/>
  <c r="J112" i="14" s="1"/>
  <c r="K112" i="14" s="1"/>
  <c r="I111" i="14"/>
  <c r="J111" i="14" s="1"/>
  <c r="K111" i="14" s="1"/>
  <c r="I110" i="14"/>
  <c r="J110" i="14" s="1"/>
  <c r="K110" i="14" s="1"/>
  <c r="I109" i="14"/>
  <c r="J109" i="14" s="1"/>
  <c r="K109" i="14" s="1"/>
  <c r="I108" i="14"/>
  <c r="J108" i="14" s="1"/>
  <c r="K108" i="14" s="1"/>
  <c r="I107" i="14"/>
  <c r="J107" i="14" s="1"/>
  <c r="K107" i="14" s="1"/>
  <c r="I106" i="14"/>
  <c r="J106" i="14" s="1"/>
  <c r="K106" i="14" s="1"/>
  <c r="I105" i="14"/>
  <c r="J105" i="14" s="1"/>
  <c r="K105" i="14" s="1"/>
  <c r="I104" i="14"/>
  <c r="J104" i="14" s="1"/>
  <c r="K104" i="14" s="1"/>
  <c r="I103" i="14"/>
  <c r="J103" i="14" s="1"/>
  <c r="K103" i="14" s="1"/>
  <c r="I102" i="14"/>
  <c r="J102" i="14" s="1"/>
  <c r="K102" i="14" s="1"/>
  <c r="I101" i="14"/>
  <c r="J101" i="14" s="1"/>
  <c r="K101" i="14" s="1"/>
  <c r="I100" i="14"/>
  <c r="J100" i="14" s="1"/>
  <c r="K100" i="14" s="1"/>
  <c r="I97" i="14"/>
  <c r="J97" i="14" s="1"/>
  <c r="K97" i="14" s="1"/>
  <c r="I96" i="14"/>
  <c r="J96" i="14" s="1"/>
  <c r="K96" i="14" s="1"/>
  <c r="I95" i="14"/>
  <c r="J95" i="14" s="1"/>
  <c r="K95" i="14" s="1"/>
  <c r="I94" i="14"/>
  <c r="J94" i="14" s="1"/>
  <c r="K94" i="14" s="1"/>
  <c r="I93" i="14"/>
  <c r="J93" i="14" s="1"/>
  <c r="K93" i="14" s="1"/>
  <c r="I92" i="14"/>
  <c r="J92" i="14" s="1"/>
  <c r="K92" i="14" s="1"/>
  <c r="I91" i="14"/>
  <c r="J91" i="14" s="1"/>
  <c r="K91" i="14" s="1"/>
  <c r="I90" i="14"/>
  <c r="J90" i="14" s="1"/>
  <c r="K90" i="14" s="1"/>
  <c r="I88" i="14"/>
  <c r="J88" i="14" s="1"/>
  <c r="K88" i="14" s="1"/>
  <c r="I87" i="14"/>
  <c r="J87" i="14" s="1"/>
  <c r="K87" i="14" s="1"/>
  <c r="I86" i="14"/>
  <c r="J86" i="14" s="1"/>
  <c r="K86" i="14" s="1"/>
  <c r="I85" i="14"/>
  <c r="J85" i="14" s="1"/>
  <c r="K85" i="14" s="1"/>
  <c r="I84" i="14"/>
  <c r="J84" i="14" s="1"/>
  <c r="K84" i="14" s="1"/>
  <c r="I83" i="14"/>
  <c r="J83" i="14" s="1"/>
  <c r="K83" i="14" s="1"/>
  <c r="I82" i="14"/>
  <c r="J82" i="14" s="1"/>
  <c r="K82" i="14" s="1"/>
  <c r="I243" i="14"/>
  <c r="J243" i="14" s="1"/>
  <c r="K243" i="14" s="1"/>
  <c r="I244" i="14"/>
  <c r="J244" i="14" s="1"/>
  <c r="K244" i="14" s="1"/>
  <c r="I245" i="14"/>
  <c r="J245" i="14" s="1"/>
  <c r="K245" i="14" s="1"/>
  <c r="I246" i="14"/>
  <c r="J246" i="14" s="1"/>
  <c r="K246" i="14" s="1"/>
  <c r="I247" i="14"/>
  <c r="J247" i="14" s="1"/>
  <c r="K247" i="14" s="1"/>
  <c r="I248" i="14"/>
  <c r="J248" i="14" s="1"/>
  <c r="K248" i="14" s="1"/>
  <c r="I249" i="14"/>
  <c r="J249" i="14" s="1"/>
  <c r="K249" i="14" s="1"/>
  <c r="I250" i="14"/>
  <c r="J250" i="14" s="1"/>
  <c r="K250" i="14" s="1"/>
  <c r="I251" i="14"/>
  <c r="J251" i="14" s="1"/>
  <c r="K251" i="14" s="1"/>
  <c r="I252" i="14"/>
  <c r="J252" i="14" s="1"/>
  <c r="K252" i="14" s="1"/>
  <c r="I253" i="14"/>
  <c r="J253" i="14" s="1"/>
  <c r="K253" i="14" s="1"/>
  <c r="I254" i="14"/>
  <c r="J254" i="14" s="1"/>
  <c r="K254" i="14" s="1"/>
  <c r="I255" i="14"/>
  <c r="J255" i="14" s="1"/>
  <c r="K255" i="14" s="1"/>
  <c r="I256" i="14"/>
  <c r="J256" i="14" s="1"/>
  <c r="K256" i="14" s="1"/>
  <c r="I257" i="14"/>
  <c r="J257" i="14" s="1"/>
  <c r="K257" i="14" s="1"/>
  <c r="I260" i="14"/>
  <c r="J260" i="14" s="1"/>
  <c r="K260" i="14" s="1"/>
  <c r="I261" i="14"/>
  <c r="J261" i="14" s="1"/>
  <c r="K261" i="14" s="1"/>
  <c r="I262" i="14"/>
  <c r="J262" i="14" s="1"/>
  <c r="K262" i="14" s="1"/>
  <c r="I263" i="14"/>
  <c r="J263" i="14" s="1"/>
  <c r="K263" i="14" s="1"/>
  <c r="I264" i="14"/>
  <c r="J264" i="14" s="1"/>
  <c r="K264" i="14" s="1"/>
  <c r="I265" i="14"/>
  <c r="J265" i="14" s="1"/>
  <c r="K265" i="14" s="1"/>
  <c r="I266" i="14"/>
  <c r="J266" i="14" s="1"/>
  <c r="K266" i="14" s="1"/>
  <c r="I267" i="14"/>
  <c r="J267" i="14" s="1"/>
  <c r="K267" i="14" s="1"/>
  <c r="I268" i="14"/>
  <c r="J268" i="14" s="1"/>
  <c r="K268" i="14" s="1"/>
  <c r="I269" i="14"/>
  <c r="J269" i="14" s="1"/>
  <c r="K269" i="14" s="1"/>
  <c r="I270" i="14"/>
  <c r="J270" i="14" s="1"/>
  <c r="K270" i="14" s="1"/>
  <c r="I271" i="14"/>
  <c r="J271" i="14" s="1"/>
  <c r="K271" i="14" s="1"/>
  <c r="I272" i="14"/>
  <c r="J272" i="14" s="1"/>
  <c r="K272" i="14" s="1"/>
  <c r="I273" i="14"/>
  <c r="J273" i="14" s="1"/>
  <c r="K273" i="14" s="1"/>
  <c r="I274" i="14"/>
  <c r="J274" i="14" s="1"/>
  <c r="K274" i="14" s="1"/>
  <c r="I275" i="14"/>
  <c r="J275" i="14" s="1"/>
  <c r="K275" i="14" s="1"/>
  <c r="I276" i="14"/>
  <c r="J276" i="14" s="1"/>
  <c r="K276" i="14" s="1"/>
  <c r="I279" i="14"/>
  <c r="J279" i="14" s="1"/>
  <c r="K279" i="14" s="1"/>
  <c r="I280" i="14"/>
  <c r="J280" i="14" s="1"/>
  <c r="K280" i="14" s="1"/>
  <c r="I281" i="14"/>
  <c r="J281" i="14" s="1"/>
  <c r="K281" i="14" s="1"/>
  <c r="I282" i="14"/>
  <c r="J282" i="14" s="1"/>
  <c r="K282" i="14" s="1"/>
  <c r="I283" i="14"/>
  <c r="J283" i="14" s="1"/>
  <c r="K283" i="14" s="1"/>
  <c r="I284" i="14"/>
  <c r="J284" i="14" s="1"/>
  <c r="K284" i="14" s="1"/>
  <c r="I285" i="14"/>
  <c r="J285" i="14" s="1"/>
  <c r="K285" i="14" s="1"/>
  <c r="I286" i="14"/>
  <c r="J286" i="14" s="1"/>
  <c r="K286" i="14" s="1"/>
  <c r="I287" i="14"/>
  <c r="J287" i="14" s="1"/>
  <c r="K287" i="14" s="1"/>
  <c r="I288" i="14"/>
  <c r="J288" i="14" s="1"/>
  <c r="K288" i="14" s="1"/>
  <c r="I289" i="14"/>
  <c r="J289" i="14" s="1"/>
  <c r="K289" i="14" s="1"/>
  <c r="I290" i="14"/>
  <c r="J290" i="14" s="1"/>
  <c r="K290" i="14" s="1"/>
  <c r="I291" i="14"/>
  <c r="J291" i="14" s="1"/>
  <c r="K291" i="14" s="1"/>
  <c r="I242" i="14"/>
  <c r="J242" i="14" s="1"/>
  <c r="K242" i="14" s="1"/>
  <c r="C292" i="14"/>
  <c r="F8" i="44"/>
  <c r="F9" i="44"/>
  <c r="F10" i="44"/>
  <c r="F11" i="44"/>
  <c r="F12" i="44"/>
  <c r="F13" i="44"/>
  <c r="F14" i="44"/>
  <c r="F15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7" i="44"/>
  <c r="M80" i="14" l="1"/>
  <c r="E43" i="32" s="1"/>
  <c r="G43" i="32" s="1"/>
  <c r="M32" i="14"/>
  <c r="M118" i="14"/>
  <c r="E44" i="32" s="1"/>
  <c r="G44" i="32" s="1"/>
  <c r="M240" i="14"/>
  <c r="E51" i="32" s="1"/>
  <c r="G51" i="32" s="1"/>
  <c r="K1028" i="14"/>
  <c r="D1028" i="14"/>
  <c r="K1003" i="14"/>
  <c r="D1003" i="14"/>
  <c r="K1014" i="14"/>
  <c r="K1013" i="14" s="1"/>
  <c r="M1013" i="14" s="1"/>
  <c r="E52" i="32" l="1"/>
  <c r="G52" i="32" s="1"/>
  <c r="E53" i="32"/>
  <c r="G53" i="32" s="1"/>
  <c r="I76" i="14"/>
  <c r="E39" i="32"/>
  <c r="G39" i="32" s="1"/>
  <c r="I71" i="14"/>
  <c r="G42" i="32" l="1"/>
  <c r="J810" i="14"/>
  <c r="K810" i="14" s="1"/>
  <c r="C261" i="32" l="1"/>
  <c r="H823" i="14"/>
  <c r="J823" i="14" s="1"/>
  <c r="K823" i="14" s="1"/>
  <c r="K821" i="14" s="1"/>
  <c r="P42" i="32" l="1"/>
  <c r="O42" i="32"/>
  <c r="D261" i="32"/>
  <c r="C16" i="48"/>
  <c r="M821" i="14"/>
  <c r="E78" i="32" s="1"/>
  <c r="G78" i="32" s="1"/>
  <c r="H901" i="14"/>
  <c r="G898" i="14"/>
  <c r="J898" i="14" s="1"/>
  <c r="G896" i="14"/>
  <c r="J896" i="14" s="1"/>
  <c r="G893" i="14"/>
  <c r="J893" i="14" s="1"/>
  <c r="G890" i="14"/>
  <c r="J890" i="14" s="1"/>
  <c r="J889" i="14" s="1"/>
  <c r="H885" i="14"/>
  <c r="H882" i="14"/>
  <c r="H879" i="14"/>
  <c r="H909" i="14"/>
  <c r="H906" i="14"/>
  <c r="H904" i="14"/>
  <c r="D1026" i="14"/>
  <c r="K1026" i="14" s="1"/>
  <c r="K1024" i="14" s="1"/>
  <c r="D1019" i="14"/>
  <c r="J1019" i="14" s="1"/>
  <c r="K1019" i="14" s="1"/>
  <c r="J1022" i="14"/>
  <c r="K1022" i="14" s="1"/>
  <c r="J1011" i="14"/>
  <c r="K1011" i="14" s="1"/>
  <c r="K1010" i="14" s="1"/>
  <c r="M1010" i="14" s="1"/>
  <c r="K997" i="14"/>
  <c r="K996" i="14" s="1"/>
  <c r="D1001" i="14"/>
  <c r="J1001" i="14" s="1"/>
  <c r="K1001" i="14" s="1"/>
  <c r="D1006" i="14"/>
  <c r="D1008" i="14" s="1"/>
  <c r="J1008" i="14" s="1"/>
  <c r="K1008" i="14" s="1"/>
  <c r="J1004" i="14"/>
  <c r="K1004" i="14" s="1"/>
  <c r="J1018" i="14"/>
  <c r="K1018" i="14" s="1"/>
  <c r="C1046" i="14"/>
  <c r="I1046" i="14"/>
  <c r="J1046" i="14" s="1"/>
  <c r="C1040" i="14"/>
  <c r="I1040" i="14"/>
  <c r="J1040" i="14" s="1"/>
  <c r="C1039" i="14"/>
  <c r="C1037" i="14"/>
  <c r="C1038" i="14"/>
  <c r="I1039" i="14"/>
  <c r="J1039" i="14" s="1"/>
  <c r="I1038" i="14"/>
  <c r="J1038" i="14" s="1"/>
  <c r="I1045" i="14"/>
  <c r="J1045" i="14" s="1"/>
  <c r="I1037" i="14"/>
  <c r="J1037" i="14" s="1"/>
  <c r="I1036" i="14"/>
  <c r="J1036" i="14" s="1"/>
  <c r="K1036" i="14" s="1"/>
  <c r="J930" i="14"/>
  <c r="K930" i="14" s="1"/>
  <c r="J927" i="14"/>
  <c r="K927" i="14" s="1"/>
  <c r="J924" i="14"/>
  <c r="K924" i="14" s="1"/>
  <c r="J923" i="14"/>
  <c r="K923" i="14" s="1"/>
  <c r="J922" i="14"/>
  <c r="K922" i="14" s="1"/>
  <c r="J919" i="14"/>
  <c r="K919" i="14" s="1"/>
  <c r="K867" i="14"/>
  <c r="K858" i="14"/>
  <c r="K859" i="14"/>
  <c r="F17" i="34"/>
  <c r="F18" i="34"/>
  <c r="F19" i="34"/>
  <c r="F20" i="34"/>
  <c r="F21" i="34"/>
  <c r="F16" i="34"/>
  <c r="F8" i="34"/>
  <c r="F9" i="34"/>
  <c r="F10" i="34"/>
  <c r="F11" i="34"/>
  <c r="F12" i="34"/>
  <c r="F13" i="34"/>
  <c r="F14" i="34"/>
  <c r="F15" i="34"/>
  <c r="F7" i="34"/>
  <c r="F16" i="48" l="1"/>
  <c r="E16" i="48"/>
  <c r="D16" i="48"/>
  <c r="K1016" i="14"/>
  <c r="M1016" i="14" s="1"/>
  <c r="K917" i="14"/>
  <c r="H872" i="14"/>
  <c r="K871" i="14" s="1"/>
  <c r="M871" i="14" s="1"/>
  <c r="H913" i="14"/>
  <c r="K900" i="14"/>
  <c r="M900" i="14" s="1"/>
  <c r="J897" i="14"/>
  <c r="H876" i="14"/>
  <c r="K875" i="14" s="1"/>
  <c r="M875" i="14" s="1"/>
  <c r="J892" i="14"/>
  <c r="J895" i="14"/>
  <c r="M1024" i="14"/>
  <c r="J1006" i="14"/>
  <c r="K1006" i="14" s="1"/>
  <c r="K999" i="14" s="1"/>
  <c r="M999" i="14" s="1"/>
  <c r="M996" i="14"/>
  <c r="K1046" i="14"/>
  <c r="K1040" i="14"/>
  <c r="K1045" i="14"/>
  <c r="K1039" i="14"/>
  <c r="K1037" i="14"/>
  <c r="K1038" i="14"/>
  <c r="J805" i="14"/>
  <c r="K805" i="14" s="1"/>
  <c r="J803" i="14"/>
  <c r="K803" i="14" s="1"/>
  <c r="J800" i="14"/>
  <c r="K800" i="14" s="1"/>
  <c r="J799" i="14"/>
  <c r="K799" i="14" s="1"/>
  <c r="J729" i="14"/>
  <c r="K729" i="14" s="1"/>
  <c r="J730" i="14"/>
  <c r="K730" i="14" s="1"/>
  <c r="J731" i="14"/>
  <c r="K731" i="14" s="1"/>
  <c r="J732" i="14"/>
  <c r="K732" i="14" s="1"/>
  <c r="J733" i="14"/>
  <c r="K733" i="14" s="1"/>
  <c r="J734" i="14"/>
  <c r="K734" i="14" s="1"/>
  <c r="J735" i="14"/>
  <c r="K735" i="14" s="1"/>
  <c r="J738" i="14"/>
  <c r="K738" i="14" s="1"/>
  <c r="J739" i="14"/>
  <c r="K739" i="14" s="1"/>
  <c r="J740" i="14"/>
  <c r="K740" i="14" s="1"/>
  <c r="J741" i="14"/>
  <c r="K741" i="14" s="1"/>
  <c r="J742" i="14"/>
  <c r="K742" i="14" s="1"/>
  <c r="J743" i="14"/>
  <c r="K743" i="14" s="1"/>
  <c r="J744" i="14"/>
  <c r="K744" i="14" s="1"/>
  <c r="J745" i="14"/>
  <c r="K745" i="14" s="1"/>
  <c r="J746" i="14"/>
  <c r="K746" i="14" s="1"/>
  <c r="J747" i="14"/>
  <c r="K747" i="14" s="1"/>
  <c r="J751" i="14"/>
  <c r="K751" i="14" s="1"/>
  <c r="J752" i="14"/>
  <c r="K752" i="14" s="1"/>
  <c r="J753" i="14"/>
  <c r="K753" i="14" s="1"/>
  <c r="J754" i="14"/>
  <c r="K754" i="14" s="1"/>
  <c r="J755" i="14"/>
  <c r="K755" i="14" s="1"/>
  <c r="J756" i="14"/>
  <c r="K756" i="14" s="1"/>
  <c r="J757" i="14"/>
  <c r="K757" i="14" s="1"/>
  <c r="J758" i="14"/>
  <c r="K758" i="14" s="1"/>
  <c r="J759" i="14"/>
  <c r="K759" i="14" s="1"/>
  <c r="J760" i="14"/>
  <c r="K760" i="14" s="1"/>
  <c r="J763" i="14"/>
  <c r="K763" i="14" s="1"/>
  <c r="J764" i="14"/>
  <c r="K764" i="14" s="1"/>
  <c r="J765" i="14"/>
  <c r="K765" i="14" s="1"/>
  <c r="J766" i="14"/>
  <c r="K766" i="14" s="1"/>
  <c r="J728" i="14"/>
  <c r="K728" i="14" s="1"/>
  <c r="H562" i="14"/>
  <c r="J562" i="14" s="1"/>
  <c r="K562" i="14" s="1"/>
  <c r="K560" i="14" s="1"/>
  <c r="H548" i="14"/>
  <c r="J548" i="14" s="1"/>
  <c r="K548" i="14" s="1"/>
  <c r="H549" i="14"/>
  <c r="J549" i="14" s="1"/>
  <c r="K549" i="14" s="1"/>
  <c r="H550" i="14"/>
  <c r="J550" i="14" s="1"/>
  <c r="K550" i="14" s="1"/>
  <c r="J748" i="14"/>
  <c r="K748" i="14" s="1"/>
  <c r="J16" i="48" l="1"/>
  <c r="I16" i="48"/>
  <c r="H16" i="48"/>
  <c r="M797" i="14"/>
  <c r="E76" i="32" s="1"/>
  <c r="G76" i="32" s="1"/>
  <c r="M726" i="14"/>
  <c r="E66" i="32" s="1"/>
  <c r="G66" i="32" s="1"/>
  <c r="K547" i="14"/>
  <c r="L547" i="14" s="1"/>
  <c r="K912" i="14"/>
  <c r="K888" i="14"/>
  <c r="M888" i="14" s="1"/>
  <c r="K1035" i="14"/>
  <c r="M1035" i="14" s="1"/>
  <c r="M546" i="14" l="1"/>
  <c r="H634" i="14" s="1"/>
  <c r="M912" i="14"/>
  <c r="E61" i="32" l="1"/>
  <c r="G61" i="32" s="1"/>
  <c r="I73" i="14"/>
  <c r="J817" i="14"/>
  <c r="K817" i="14" s="1"/>
  <c r="J774" i="14"/>
  <c r="K774" i="14" s="1"/>
  <c r="J818" i="14"/>
  <c r="K818" i="14" s="1"/>
  <c r="J816" i="14"/>
  <c r="K816" i="14" s="1"/>
  <c r="M793" i="14"/>
  <c r="E74" i="32" s="1"/>
  <c r="G74" i="32" s="1"/>
  <c r="J791" i="14"/>
  <c r="K791" i="14" s="1"/>
  <c r="J787" i="14"/>
  <c r="K787" i="14" s="1"/>
  <c r="J784" i="14"/>
  <c r="K784" i="14" s="1"/>
  <c r="M783" i="14" s="1"/>
  <c r="E71" i="32" s="1"/>
  <c r="G71" i="32" s="1"/>
  <c r="J777" i="14"/>
  <c r="K777" i="14" s="1"/>
  <c r="H776" i="14"/>
  <c r="J776" i="14" s="1"/>
  <c r="K776" i="14" s="1"/>
  <c r="J772" i="14"/>
  <c r="M814" i="14" l="1"/>
  <c r="E77" i="32" s="1"/>
  <c r="G77" i="32" s="1"/>
  <c r="M775" i="14"/>
  <c r="E69" i="32" s="1"/>
  <c r="G69" i="32" s="1"/>
  <c r="M790" i="14"/>
  <c r="E73" i="32" s="1"/>
  <c r="G73" i="32" s="1"/>
  <c r="M786" i="14"/>
  <c r="E72" i="32" s="1"/>
  <c r="G72" i="32" s="1"/>
  <c r="C795" i="14"/>
  <c r="M795" i="14" s="1"/>
  <c r="E75" i="32" s="1"/>
  <c r="G75" i="32" s="1"/>
  <c r="K772" i="14"/>
  <c r="M771" i="14" s="1"/>
  <c r="E68" i="32" s="1"/>
  <c r="G68" i="32" s="1"/>
  <c r="M1122" i="14"/>
  <c r="M1052" i="14"/>
  <c r="M1051" i="14"/>
  <c r="M1056" i="14"/>
  <c r="M1050" i="14"/>
  <c r="M1053" i="14"/>
  <c r="M1055" i="14"/>
  <c r="M1054" i="14"/>
  <c r="M1057" i="14"/>
  <c r="M1121" i="14"/>
  <c r="M830" i="14"/>
  <c r="M829" i="14"/>
  <c r="M828" i="14"/>
  <c r="M827" i="14"/>
  <c r="M1079" i="14"/>
  <c r="M1072" i="14"/>
  <c r="M1073" i="14"/>
  <c r="M1074" i="14"/>
  <c r="M1075" i="14"/>
  <c r="M1076" i="14"/>
  <c r="M1077" i="14"/>
  <c r="M1078" i="14"/>
  <c r="M1080" i="14"/>
  <c r="G67" i="32" l="1"/>
  <c r="I72" i="14"/>
  <c r="J72" i="14" s="1"/>
  <c r="M70" i="14" s="1"/>
  <c r="D263" i="32" l="1"/>
  <c r="C18" i="48"/>
  <c r="I77" i="14"/>
  <c r="M75" i="14" s="1"/>
  <c r="E41" i="32" s="1"/>
  <c r="G41" i="32" s="1"/>
  <c r="E40" i="32"/>
  <c r="G40" i="32" s="1"/>
  <c r="G38" i="32" s="1"/>
  <c r="J633" i="14"/>
  <c r="K633" i="14" s="1"/>
  <c r="F18" i="48" l="1"/>
  <c r="E18" i="48"/>
  <c r="D18" i="48"/>
  <c r="J634" i="14"/>
  <c r="K634" i="14" s="1"/>
  <c r="K632" i="14" s="1"/>
  <c r="M1071" i="14"/>
  <c r="K1163" i="14"/>
  <c r="M1163" i="14" s="1"/>
  <c r="H18" i="48" l="1"/>
  <c r="I18" i="48"/>
  <c r="J18" i="48"/>
  <c r="C260" i="32"/>
  <c r="M631" i="14"/>
  <c r="E62" i="32" s="1"/>
  <c r="G62" i="32" s="1"/>
  <c r="G55" i="32" s="1"/>
  <c r="H837" i="14"/>
  <c r="K837" i="14" s="1"/>
  <c r="M849" i="14"/>
  <c r="E93" i="32" s="1"/>
  <c r="G93" i="32" s="1"/>
  <c r="K855" i="14"/>
  <c r="D260" i="32" l="1"/>
  <c r="C262" i="32"/>
  <c r="C15" i="48"/>
  <c r="K853" i="14"/>
  <c r="C17" i="48" l="1"/>
  <c r="C38" i="48" s="1"/>
  <c r="F15" i="48"/>
  <c r="E15" i="48"/>
  <c r="D15" i="48"/>
  <c r="D17" i="48"/>
  <c r="D262" i="32"/>
  <c r="M932" i="14"/>
  <c r="M853" i="14"/>
  <c r="E94" i="32" s="1"/>
  <c r="G94" i="32" s="1"/>
  <c r="M917" i="14"/>
  <c r="E17" i="48" l="1"/>
  <c r="F17" i="48"/>
  <c r="E38" i="48"/>
  <c r="F38" i="48"/>
  <c r="D38" i="48"/>
  <c r="G38" i="48"/>
  <c r="I15" i="48"/>
  <c r="J15" i="48"/>
  <c r="H15" i="48"/>
  <c r="J17" i="48"/>
  <c r="H17" i="48"/>
  <c r="I17" i="48"/>
  <c r="C21" i="48"/>
  <c r="D266" i="32"/>
  <c r="K834" i="14"/>
  <c r="J38" i="48" l="1"/>
  <c r="I38" i="48"/>
  <c r="H38" i="48"/>
  <c r="F21" i="48"/>
  <c r="E21" i="48"/>
  <c r="D21" i="48"/>
  <c r="K833" i="14"/>
  <c r="H21" i="48" l="1"/>
  <c r="I21" i="48"/>
  <c r="J21" i="48"/>
  <c r="H846" i="14"/>
  <c r="K846" i="14" s="1"/>
  <c r="K845" i="14" s="1"/>
  <c r="M845" i="14" s="1"/>
  <c r="H841" i="14"/>
  <c r="K841" i="14" s="1"/>
  <c r="K840" i="14" s="1"/>
  <c r="M840" i="14" s="1"/>
  <c r="E91" i="32" s="1"/>
  <c r="G91" i="32" s="1"/>
  <c r="M833" i="14"/>
  <c r="E90" i="32" s="1"/>
  <c r="G90" i="32" s="1"/>
  <c r="E92" i="32" l="1"/>
  <c r="G92" i="32" s="1"/>
  <c r="G89" i="32" l="1"/>
  <c r="C265" i="32" s="1"/>
  <c r="C20" i="48" l="1"/>
  <c r="D265" i="32"/>
  <c r="F23" i="48" l="1"/>
  <c r="E23" i="48"/>
  <c r="D23" i="48"/>
  <c r="F20" i="48"/>
  <c r="E20" i="48"/>
  <c r="D20" i="48"/>
  <c r="J23" i="48" l="1"/>
  <c r="I23" i="48"/>
  <c r="H23" i="48"/>
  <c r="J20" i="48"/>
  <c r="I20" i="48"/>
  <c r="H20" i="48"/>
  <c r="C272" i="32"/>
  <c r="C27" i="48" l="1"/>
  <c r="D272" i="32"/>
  <c r="D278" i="32" s="1"/>
  <c r="D279" i="32" s="1"/>
  <c r="D280" i="32" s="1"/>
  <c r="C279" i="32" l="1"/>
  <c r="C40" i="48"/>
  <c r="C33" i="48"/>
  <c r="F27" i="48"/>
  <c r="F33" i="48" s="1"/>
  <c r="E27" i="48"/>
  <c r="E33" i="48" s="1"/>
  <c r="D27" i="48"/>
  <c r="D33" i="48" s="1"/>
  <c r="G33" i="48"/>
  <c r="C280" i="32" l="1"/>
  <c r="F39" i="48"/>
  <c r="F40" i="48" s="1"/>
  <c r="D47" i="48" s="1"/>
  <c r="F47" i="48" s="1"/>
  <c r="D39" i="48"/>
  <c r="D40" i="48" s="1"/>
  <c r="D45" i="48" s="1"/>
  <c r="F45" i="48" s="1"/>
  <c r="G39" i="48"/>
  <c r="G40" i="48" s="1"/>
  <c r="E39" i="48"/>
  <c r="E40" i="48" s="1"/>
  <c r="D46" i="48" s="1"/>
  <c r="F46" i="48" s="1"/>
  <c r="J27" i="48"/>
  <c r="J33" i="48" s="1"/>
  <c r="H27" i="48"/>
  <c r="H33" i="48" s="1"/>
  <c r="I27" i="48"/>
  <c r="I33" i="48" s="1"/>
  <c r="H39" i="48" l="1"/>
  <c r="H40" i="48" s="1"/>
  <c r="E45" i="48" s="1"/>
  <c r="I39" i="48"/>
  <c r="I40" i="48" s="1"/>
  <c r="E46" i="48" s="1"/>
  <c r="J39" i="48"/>
  <c r="J40" i="48" s="1"/>
  <c r="E47" i="48" s="1"/>
</calcChain>
</file>

<file path=xl/sharedStrings.xml><?xml version="1.0" encoding="utf-8"?>
<sst xmlns="http://schemas.openxmlformats.org/spreadsheetml/2006/main" count="1931" uniqueCount="1028">
  <si>
    <t>N°</t>
  </si>
  <si>
    <t>DESIGNATION DES TRAVAUX</t>
  </si>
  <si>
    <t>UNITE</t>
  </si>
  <si>
    <t>I</t>
  </si>
  <si>
    <t>II</t>
  </si>
  <si>
    <t>U</t>
  </si>
  <si>
    <t>ml</t>
  </si>
  <si>
    <t>m2</t>
  </si>
  <si>
    <t>6.1</t>
  </si>
  <si>
    <t>VI</t>
  </si>
  <si>
    <t>4.3</t>
  </si>
  <si>
    <t>m3</t>
  </si>
  <si>
    <t>4.1</t>
  </si>
  <si>
    <t>IV</t>
  </si>
  <si>
    <t>3.1</t>
  </si>
  <si>
    <t>TRAVAUX EN INFRASTRUCTURE</t>
  </si>
  <si>
    <t>III</t>
  </si>
  <si>
    <t>ASSAINISSEMENT</t>
  </si>
  <si>
    <t>INSTALLATION DE CHANTIER</t>
  </si>
  <si>
    <t>kg</t>
  </si>
  <si>
    <t>TRAVAUX EN SUPERSTRUCTURE</t>
  </si>
  <si>
    <t>Kg</t>
  </si>
  <si>
    <t>4.6</t>
  </si>
  <si>
    <t>4.7</t>
  </si>
  <si>
    <t>4.8</t>
  </si>
  <si>
    <t xml:space="preserve">Fft </t>
  </si>
  <si>
    <t>VIII</t>
  </si>
  <si>
    <t>X</t>
  </si>
  <si>
    <t>XI</t>
  </si>
  <si>
    <t>AMENAGEMENT EXTERIEUR</t>
  </si>
  <si>
    <t>4.2</t>
  </si>
  <si>
    <t>XII</t>
  </si>
  <si>
    <t>CHARPENTE - COUVERTURE - ETANCHEITE</t>
  </si>
  <si>
    <t>PEINTURE</t>
  </si>
  <si>
    <t>VII</t>
  </si>
  <si>
    <t>V</t>
  </si>
  <si>
    <t>5.1</t>
  </si>
  <si>
    <t>5.2</t>
  </si>
  <si>
    <t>IX</t>
  </si>
  <si>
    <t>ELECTRICITE</t>
  </si>
  <si>
    <t>MENUISERIE BOIS</t>
  </si>
  <si>
    <t>MENUISERIE ALUMINIUM</t>
  </si>
  <si>
    <t>MENUISERIE METALLIQUE</t>
  </si>
  <si>
    <t xml:space="preserve">Béton de propreté  dosé à 150kg /m3,  d'épaisseur 5 cm </t>
  </si>
  <si>
    <t xml:space="preserve">Hérissonnage en tout-venant 40/70, épaisseur : 15cm </t>
  </si>
  <si>
    <t xml:space="preserve">Béton armé dosé à 350kg /m3 </t>
  </si>
  <si>
    <t>PLOMBERIE</t>
  </si>
  <si>
    <t>Alimentation tuyau PPR</t>
  </si>
  <si>
    <t>Evacuation PVC</t>
  </si>
  <si>
    <t>Siege anglaise</t>
  </si>
  <si>
    <t>Lavabo</t>
  </si>
  <si>
    <t>Porte papier</t>
  </si>
  <si>
    <t>Porte savon</t>
  </si>
  <si>
    <t>Alimentation générale de toutes sections, y compris saignée, fixation et toutes accessoires de pose depuis la compteur principale jusqu’au la gaine technique de chaque étage</t>
  </si>
  <si>
    <t>Regard 80x80</t>
  </si>
  <si>
    <t>NPS</t>
  </si>
  <si>
    <t>DIMENSIONS</t>
  </si>
  <si>
    <t>RESULTATS</t>
  </si>
  <si>
    <t>OBSERVATIONS</t>
  </si>
  <si>
    <t>Auxiliaire</t>
  </si>
  <si>
    <t>Partiel</t>
  </si>
  <si>
    <t>Définitif</t>
  </si>
  <si>
    <t>Interrupteur SA</t>
  </si>
  <si>
    <t xml:space="preserve">Interrupteur VV </t>
  </si>
  <si>
    <t>Prise de courant</t>
  </si>
  <si>
    <t>Interrupteur SA étanche</t>
  </si>
  <si>
    <t>Prise de courant étanche</t>
  </si>
  <si>
    <t>FAUX PLAFOND</t>
  </si>
  <si>
    <t>Moignon</t>
  </si>
  <si>
    <t xml:space="preserve">Etanchéité bi couche </t>
  </si>
  <si>
    <t>Miroir</t>
  </si>
  <si>
    <t>Armature</t>
  </si>
  <si>
    <t>Coffrage</t>
  </si>
  <si>
    <t>TRAVAUX DE TERRASSEMENT</t>
  </si>
  <si>
    <t>PLOMBERIE - SANITAIRE</t>
  </si>
  <si>
    <t>Fft</t>
  </si>
  <si>
    <t xml:space="preserve">MONTANT HT </t>
  </si>
  <si>
    <t>INSTALLATION ET REPLI DE CHANTIER</t>
  </si>
  <si>
    <t>CHARPENTE - COUVERTURE  - ETANCHEITE</t>
  </si>
  <si>
    <t>PLOMBERIE SANITAIRE</t>
  </si>
  <si>
    <t xml:space="preserve">MENUISERIE ALUMINIUM </t>
  </si>
  <si>
    <t>XIII</t>
  </si>
  <si>
    <t>XIV</t>
  </si>
  <si>
    <t>XV</t>
  </si>
  <si>
    <t>3.2</t>
  </si>
  <si>
    <t>3.3</t>
  </si>
  <si>
    <t>5.3</t>
  </si>
  <si>
    <t>6.2</t>
  </si>
  <si>
    <t>7.1</t>
  </si>
  <si>
    <t>7.2</t>
  </si>
  <si>
    <t>7.3</t>
  </si>
  <si>
    <t>XVI</t>
  </si>
  <si>
    <t>CONCERNE</t>
  </si>
  <si>
    <t>Installation et repli de chantier</t>
  </si>
  <si>
    <t>Fourniture, coupe, façonnage, ligature en fil de fer recuit, mise en place des armatures en acier HA Fe E 400 de tout diamètre, y compris toutes sujétions de mise en œuvre.</t>
  </si>
  <si>
    <t>Couverture</t>
  </si>
  <si>
    <t>Crapaudine</t>
  </si>
  <si>
    <t xml:space="preserve">Moignon </t>
  </si>
  <si>
    <t>Caniveau</t>
  </si>
  <si>
    <t>Evacuation EP, EU</t>
  </si>
  <si>
    <t>Mini-station</t>
  </si>
  <si>
    <t>7.4</t>
  </si>
  <si>
    <t>Fourniture et pose de coffrage soigné en bakélisé ou métallique, y compris étayage, décoffrage et toutes sujétions de mise en œuvre.</t>
  </si>
  <si>
    <t>Chauffe eau</t>
  </si>
  <si>
    <t>Longrine</t>
  </si>
  <si>
    <t>Poteaux</t>
  </si>
  <si>
    <t>RDC</t>
  </si>
  <si>
    <t>R+1</t>
  </si>
  <si>
    <t>Cheneau</t>
  </si>
  <si>
    <t xml:space="preserve">Tuyau d'évacuation </t>
  </si>
  <si>
    <t>Murs intérieurs épaisseur 10cm</t>
  </si>
  <si>
    <t>Entre hérisson et plancher bas RDC</t>
  </si>
  <si>
    <t>CLIMATISATION &amp; VMC</t>
  </si>
  <si>
    <t>Caniveau de douche à l'italienne</t>
  </si>
  <si>
    <t>Split</t>
  </si>
  <si>
    <t>VMC simple flux</t>
  </si>
  <si>
    <t>7.5</t>
  </si>
  <si>
    <t>14.1</t>
  </si>
  <si>
    <t>INCENDIE</t>
  </si>
  <si>
    <t>Longueur(m)</t>
  </si>
  <si>
    <t>Largeur (m)</t>
  </si>
  <si>
    <t>Hauteur (m)</t>
  </si>
  <si>
    <r>
      <t xml:space="preserve"> Ouvrage en béton armé de l'infrastructure </t>
    </r>
    <r>
      <rPr>
        <i/>
        <sz val="9"/>
        <rFont val="Arial"/>
        <family val="2"/>
      </rPr>
      <t>(Semelles, poteaux, longrines)</t>
    </r>
  </si>
  <si>
    <t>Confection et mise en œuvre béton armé dosé à 350kg /m3 de Ciment CEM I 42,5,malaxé à la bétonnière, y compris pervibration mécanique et toutes sujétions de mise en œuvre.</t>
  </si>
  <si>
    <r>
      <t xml:space="preserve">Hérissonnage </t>
    </r>
    <r>
      <rPr>
        <i/>
        <sz val="9"/>
        <rFont val="Arial"/>
        <family val="2"/>
      </rPr>
      <t>(Couche d'assise du plancher bas RDC)</t>
    </r>
  </si>
  <si>
    <t>Porte serviette</t>
  </si>
  <si>
    <t>Bassin draignat</t>
  </si>
  <si>
    <t>Luminaire plafonnier</t>
  </si>
  <si>
    <t>Périmètre (m)</t>
  </si>
  <si>
    <t>Portes 90x210</t>
  </si>
  <si>
    <t>Fenêtres 170x150</t>
  </si>
  <si>
    <t>Fenêtres 100x170</t>
  </si>
  <si>
    <t>Enduit beissier</t>
  </si>
  <si>
    <t>à deduire</t>
  </si>
  <si>
    <t>LT</t>
  </si>
  <si>
    <t>Evier simple bac</t>
  </si>
  <si>
    <t>Evier double bac</t>
  </si>
  <si>
    <t>4.9</t>
  </si>
  <si>
    <t xml:space="preserve">Descente eau pluviale </t>
  </si>
  <si>
    <t>Route en B ordinaire</t>
  </si>
  <si>
    <t>Revetement gravillon route principale</t>
  </si>
  <si>
    <t>6.5</t>
  </si>
  <si>
    <t>6.6</t>
  </si>
  <si>
    <t>7.6</t>
  </si>
  <si>
    <t>Porte en bois dimension = 110x210</t>
  </si>
  <si>
    <t>Porte en bois dimension = 100x210</t>
  </si>
  <si>
    <t>Porte en bois dimension = 81,5x200 Garden</t>
  </si>
  <si>
    <t>Porte en bois dimension = 70x210 Chambre RDC</t>
  </si>
  <si>
    <t xml:space="preserve">Porte en bois dimension = 70x210 SDE RDC&amp;R+1 </t>
  </si>
  <si>
    <t>Porte en bois dimension = 50x200 Closet RDC</t>
  </si>
  <si>
    <t>Porte en bois dimension = 80x210  Chambre R+1</t>
  </si>
  <si>
    <t>Porte en bois dimension = 90x210 Chambre R+1</t>
  </si>
  <si>
    <t>Fourniture et mise en œuvre traitement anti-termite, y compris toutes sujétions de mise en œuvre</t>
  </si>
  <si>
    <t>Sol  du projet</t>
  </si>
  <si>
    <t>TRAVAUX DE DEPOSE ET DEMOLITION</t>
  </si>
  <si>
    <t>CHARPENTE ET COUVERTURE</t>
  </si>
  <si>
    <t>MACONNERIE ET RAVALEMENT</t>
  </si>
  <si>
    <t>BETON</t>
  </si>
  <si>
    <t>REVETEMENT ET PLAFONNAGE</t>
  </si>
  <si>
    <t>BOIS</t>
  </si>
  <si>
    <t>METALLIQUES</t>
  </si>
  <si>
    <t>ALUMINIUM</t>
  </si>
  <si>
    <t xml:space="preserve">ASSAINISSEMENT </t>
  </si>
  <si>
    <t>2-1.1</t>
  </si>
  <si>
    <t xml:space="preserve"> 2-1</t>
  </si>
  <si>
    <t xml:space="preserve"> 2-3</t>
  </si>
  <si>
    <t>2-3.1</t>
  </si>
  <si>
    <t xml:space="preserve"> 2-4</t>
  </si>
  <si>
    <t>2-4.1</t>
  </si>
  <si>
    <t xml:space="preserve"> 2-5</t>
  </si>
  <si>
    <t>2-5.1</t>
  </si>
  <si>
    <t xml:space="preserve"> 2-6</t>
  </si>
  <si>
    <t>2-6.2</t>
  </si>
  <si>
    <t xml:space="preserve"> 2-7</t>
  </si>
  <si>
    <t>2-7.1</t>
  </si>
  <si>
    <t xml:space="preserve"> 2-8</t>
  </si>
  <si>
    <t>2-8.1</t>
  </si>
  <si>
    <t>2-8.2</t>
  </si>
  <si>
    <t xml:space="preserve"> 2-9</t>
  </si>
  <si>
    <t>2-9.1</t>
  </si>
  <si>
    <t>Dallage</t>
  </si>
  <si>
    <t>2-2.</t>
  </si>
  <si>
    <t>1.1</t>
  </si>
  <si>
    <t>2-2-.1</t>
  </si>
  <si>
    <t>4.4</t>
  </si>
  <si>
    <t>4.5</t>
  </si>
  <si>
    <t>Sous semelles (fondations)</t>
  </si>
  <si>
    <t>5.9</t>
  </si>
  <si>
    <t xml:space="preserve">Panne C </t>
  </si>
  <si>
    <t>Fosse septique</t>
  </si>
  <si>
    <t xml:space="preserve">Puisard </t>
  </si>
  <si>
    <r>
      <t xml:space="preserve">Fourniture et mise en œuvre puisard de 2,80m de diamètre et de 3,00m de profondeur, y compris fouille, couvercle en BA avec la trappe de visite et les matériaux alternée, toutes sujétions de mise en œuvre (cf. plan)
</t>
    </r>
    <r>
      <rPr>
        <b/>
        <i/>
        <sz val="9"/>
        <color theme="1"/>
        <rFont val="Arial"/>
        <family val="2"/>
      </rPr>
      <t/>
    </r>
  </si>
  <si>
    <t>Bac à graisse</t>
  </si>
  <si>
    <t>Surface (m2)</t>
  </si>
  <si>
    <t>Semelle filante</t>
  </si>
  <si>
    <t>Volume (m3)</t>
  </si>
  <si>
    <t>Attente poteaux</t>
  </si>
  <si>
    <t>Béton de forme dosé à 250kg /m3 dallage RDC ep = 12cm</t>
  </si>
  <si>
    <t>RNAF</t>
  </si>
  <si>
    <t>DGT</t>
  </si>
  <si>
    <t>Hall</t>
  </si>
  <si>
    <t>Salle de reunion</t>
  </si>
  <si>
    <t>Toilettes hommes</t>
  </si>
  <si>
    <t>Poutres</t>
  </si>
  <si>
    <t>R+2</t>
  </si>
  <si>
    <t>R+3</t>
  </si>
  <si>
    <t>Axe 03</t>
  </si>
  <si>
    <t>Axe 06</t>
  </si>
  <si>
    <t>File C</t>
  </si>
  <si>
    <t>File D</t>
  </si>
  <si>
    <t>Balcon</t>
  </si>
  <si>
    <t>File G</t>
  </si>
  <si>
    <t>Panne C 120</t>
  </si>
  <si>
    <t xml:space="preserve">Enduit de ciment dosé à 300kg/m3 </t>
  </si>
  <si>
    <t xml:space="preserve">Chape de ciment dosé à 400kg/m3 </t>
  </si>
  <si>
    <t>Jambage portes interieures</t>
  </si>
  <si>
    <t>Murs 20 int</t>
  </si>
  <si>
    <t>Enduit interieurs</t>
  </si>
  <si>
    <t xml:space="preserve">Murs 20 ext </t>
  </si>
  <si>
    <t>Jambage portes exterieures</t>
  </si>
  <si>
    <t>CN</t>
  </si>
  <si>
    <t>Degagement 1</t>
  </si>
  <si>
    <t>Toilettes femmes</t>
  </si>
  <si>
    <t>DN</t>
  </si>
  <si>
    <t>SDE DN</t>
  </si>
  <si>
    <t>Local serveur</t>
  </si>
  <si>
    <t>Responsable passation de marchés</t>
  </si>
  <si>
    <t>Cuisine</t>
  </si>
  <si>
    <t>Solin de rive type 1</t>
  </si>
  <si>
    <t>Solin de rive type 2</t>
  </si>
  <si>
    <t>Solin de rive type 01</t>
  </si>
  <si>
    <t>Solin de rive type 02</t>
  </si>
  <si>
    <t>Descente d'eau pluviale en PVC Ø100</t>
  </si>
  <si>
    <t>Terrasse R+3</t>
  </si>
  <si>
    <t>Fourniture et pose crapaudine plastique Ø 100, y compris toutes sujétion de pose et de mise en en œuvre.</t>
  </si>
  <si>
    <t>Fourniture et pose moignon en plomb vertical Ø 100, y compris toutes sujétion de pose et de mise en en œuvre.</t>
  </si>
  <si>
    <t>Fourniture et mise en œuvre forme de pente en béton ordinaire dosé à 300kg/m3, y compris toutes sujétions de mise en œuvre</t>
  </si>
  <si>
    <t xml:space="preserve"> 2-10</t>
  </si>
  <si>
    <t>2-10.1</t>
  </si>
  <si>
    <t xml:space="preserve">Couche de fermeture en lit de sable </t>
  </si>
  <si>
    <t>4.10</t>
  </si>
  <si>
    <t>Couche de fermeture en lit de sable</t>
  </si>
  <si>
    <t>Habillage en bois</t>
  </si>
  <si>
    <t>6.7</t>
  </si>
  <si>
    <t>6.8</t>
  </si>
  <si>
    <t>6.9</t>
  </si>
  <si>
    <t>7.7</t>
  </si>
  <si>
    <t>7.9</t>
  </si>
  <si>
    <t xml:space="preserve"> Evacuation EP</t>
  </si>
  <si>
    <t xml:space="preserve"> Evacuation EP, EU, EV</t>
  </si>
  <si>
    <t>Mambrene desolidarisation</t>
  </si>
  <si>
    <t>Fourniture et pose pannes C métallique de dimensions 120x50x2x2, fixées sur chainage rampant en béton armé avec échantignole et lierne métallique. Les assemblages se feront par boulonnage directe ou à l’aide de gousset boulonné. y compris toutes sujétions de pose et de mise en œuvre. (cf. plan)</t>
  </si>
  <si>
    <t>Fourniture et pose solin de rive en TPG  60/100 , y compris toutes les accessoires de pose et sujétions de mise en œuvre. (cf. plan)</t>
  </si>
  <si>
    <t xml:space="preserve">Fourniture et mise en œuvre d'étanchéité bicouche, comprenant :
- Enduit d'imprégnation
- 1ere couche bande elastophene flam 180 à souder (SOPREMA) ou équivalent AXTER ou autre marque normée
- 2eme couche bande elastophene flam 180 à souder auto protégée (SOPREMA) ou équivalent AXTER ou autre marque normée
 -  y compris tous les accessoires et sujétions de pose  pour assurer une étanchéité parfaite </t>
  </si>
  <si>
    <t>2-5.4</t>
  </si>
  <si>
    <t>Installation et repli de chantier : clôture de chantier, baraque pour stockage des matériaux et matériels, sanitaire de chantier, bureau de chantier, gardiennage du chantier, frais étude et plan d'exécution, implantation, etc..., y compris amené personnels, matériels et repli de chantier.</t>
  </si>
  <si>
    <t>Fourniture et mise en œuvre hérissonnage en tout-venant 40/70, épaisseur : 15cm, y compris toutes sujétions de mise en œuvre.</t>
  </si>
  <si>
    <t>Fourniture et mise en œuvre chape dosé à 400 Kg/m3 de ciment CEMI 42,5 d'épaisseur 4cm, y compris le pilonnage et le dressage de la surface horizontale et toutes sujétions de mise en œuvre.</t>
  </si>
  <si>
    <r>
      <t xml:space="preserve">Fourniture et pose tuyau de descente d'eau pluviale en tuyau PVC </t>
    </r>
    <r>
      <rPr>
        <sz val="9"/>
        <rFont val="Calibri"/>
        <family val="2"/>
      </rPr>
      <t>Ø</t>
    </r>
    <r>
      <rPr>
        <i/>
        <sz val="9"/>
        <rFont val="Arial"/>
        <family val="2"/>
      </rPr>
      <t xml:space="preserve"> 100, y compris tous les accessoires de pose et toutes sujétions de mise en œuvre. </t>
    </r>
  </si>
  <si>
    <t>Etanchéité liquide</t>
  </si>
  <si>
    <t>Couverture en tôle</t>
  </si>
  <si>
    <t xml:space="preserve">Fourniture et mise en œuvre d'étanchéité liquide (SOPREMA) ou équivalent,
 -  y compris tous les accessoires et sujétions de pose  pour assurer une étanchéité parfaite </t>
  </si>
  <si>
    <t>Majoration 5%</t>
  </si>
  <si>
    <t>Aluminium</t>
  </si>
  <si>
    <t xml:space="preserve">Métallique </t>
  </si>
  <si>
    <t>Bois</t>
  </si>
  <si>
    <t>Escalier</t>
  </si>
  <si>
    <t>Charpente &amp; couverture</t>
  </si>
  <si>
    <t>Revetement &amp; plafonnage</t>
  </si>
  <si>
    <t>Maçonnerie &amp; Ravalement</t>
  </si>
  <si>
    <t xml:space="preserve">Beton </t>
  </si>
  <si>
    <t>Assainissement</t>
  </si>
  <si>
    <t>Electricite</t>
  </si>
  <si>
    <t>Pissoir</t>
  </si>
  <si>
    <t>9.1</t>
  </si>
  <si>
    <t>9.2</t>
  </si>
  <si>
    <t>Murs intérieurs et plafond</t>
  </si>
  <si>
    <t xml:space="preserve">Murs intérieurs et extérieurs, plafond </t>
  </si>
  <si>
    <t xml:space="preserve">Murs intérieurs et plafond </t>
  </si>
  <si>
    <t xml:space="preserve">Fourniture et mise en œuvre peinture à l'huile. y compris toutes sujétions de mise en œuvre
</t>
  </si>
  <si>
    <t>Fourniture et mise en œuvre peinture sous couche, y compris tous les travaux de préparation des surfaces à peindre et toutes sujétions de mise en œuvre.</t>
  </si>
  <si>
    <t>Fourniture et application enduit beissier en 2 couches, y compris tous les travaux de préparation des surfaces et toutes sujétions de mise en œuvre.</t>
  </si>
  <si>
    <t>REVETEMENT - PLAFONNAGE - CLOISON</t>
  </si>
  <si>
    <t>Fourniture et pose faux plafond  en BA13 standard , y compris toutes les accessoires de pose et toutes sujétions de mise en œuvre (cf. plan)</t>
  </si>
  <si>
    <t>9.5</t>
  </si>
  <si>
    <t>9.6</t>
  </si>
  <si>
    <t>9.7</t>
  </si>
  <si>
    <t>Evacuation EU, EV, EP</t>
  </si>
  <si>
    <t>Fourniture et pose tuyau d'évacuation (à l'intérieur et à l'extérieur du bâtiment) en PVC de tous diamètres nécessaires, y compris toutes accessoires de pose depuis les appareils jusqu'au regard. (Cf plan)</t>
  </si>
  <si>
    <t>VB et VH</t>
  </si>
  <si>
    <t>DESIGNATIONS</t>
  </si>
  <si>
    <t>TOTAL</t>
  </si>
  <si>
    <t>WC</t>
  </si>
  <si>
    <t xml:space="preserve">Lave main </t>
  </si>
  <si>
    <t>VB/VH</t>
  </si>
  <si>
    <t>Lavabo simple vasque</t>
  </si>
  <si>
    <t>Lavabo double vasque</t>
  </si>
  <si>
    <t>Lavabo simple vasque à meuble</t>
  </si>
  <si>
    <t>TH</t>
  </si>
  <si>
    <t>TF</t>
  </si>
  <si>
    <t>TP</t>
  </si>
  <si>
    <t>9.10</t>
  </si>
  <si>
    <t>14.2</t>
  </si>
  <si>
    <t>14.3</t>
  </si>
  <si>
    <t>14.4</t>
  </si>
  <si>
    <t>14.7</t>
  </si>
  <si>
    <t>14.9</t>
  </si>
  <si>
    <t>14.14</t>
  </si>
  <si>
    <t>14.15</t>
  </si>
  <si>
    <t>14.16</t>
  </si>
  <si>
    <t>14.17</t>
  </si>
  <si>
    <t>14.18</t>
  </si>
  <si>
    <t>14.19</t>
  </si>
  <si>
    <t>TF/TH</t>
  </si>
  <si>
    <t>Lavabo triple vasque</t>
  </si>
  <si>
    <t>T&amp;SDE</t>
  </si>
  <si>
    <t>Kichenette/cuisine</t>
  </si>
  <si>
    <t>CN/DN</t>
  </si>
  <si>
    <t>Chauffe eau 50L</t>
  </si>
  <si>
    <t>SDE CN &amp; DN</t>
  </si>
  <si>
    <t xml:space="preserve">Mirroir </t>
  </si>
  <si>
    <t>Potre papier</t>
  </si>
  <si>
    <t>Fourniture et pose lavabo simple vasque avec meuble, y compris fourniture et pose robinetterie, accessoires  et toutes sujétions de mise en œuvre. (Cf plan)</t>
  </si>
  <si>
    <t>Receveur de douche + cabine</t>
  </si>
  <si>
    <r>
      <t xml:space="preserve">Fourniture et pose grille d'aération </t>
    </r>
    <r>
      <rPr>
        <sz val="9"/>
        <rFont val="Calibri"/>
        <family val="2"/>
      </rPr>
      <t>Ø</t>
    </r>
    <r>
      <rPr>
        <i/>
        <sz val="9"/>
        <rFont val="Arial"/>
        <family val="2"/>
      </rPr>
      <t>100, y compris tous les accessoires de pose et sujétions de mise œuvre. (Cf plan)</t>
    </r>
  </si>
  <si>
    <t>Fourniture et pose chauffe eau électrique 50litres, y compris tous les accessoires de pose et toutes sujétions de mise en œuvre. (Cf plan)</t>
  </si>
  <si>
    <t>Fourniture et pose porte savon, y compris tous les accessoires de pose et toutes sujétions de mise en œuvre. (Cf plan)</t>
  </si>
  <si>
    <t>Fourniture et pose porte serviette, y compris tous les accessoires de pose et toutes sujétions de mise en œuvre. (Cf plan)</t>
  </si>
  <si>
    <t>Fourniture et pose faux plafond  en BA13 hydrofuge , y compris tous les accessoires de pose et toutes sujétions de mise en œuvre (cf. plan)</t>
  </si>
  <si>
    <t>8.1</t>
  </si>
  <si>
    <t>8.2</t>
  </si>
  <si>
    <t>8.3</t>
  </si>
  <si>
    <t>8.4</t>
  </si>
  <si>
    <t>8.5</t>
  </si>
  <si>
    <t>11.1</t>
  </si>
  <si>
    <t>Faux plafond</t>
  </si>
  <si>
    <t>CLOISONNEMENT</t>
  </si>
  <si>
    <t>Cloison en BA 13</t>
  </si>
  <si>
    <t>Peinture sous couche</t>
  </si>
  <si>
    <t>Peinture interieur</t>
  </si>
  <si>
    <t>Mur exterieure</t>
  </si>
  <si>
    <t>Mur exterieur</t>
  </si>
  <si>
    <t>Peinture à l'huile</t>
  </si>
  <si>
    <t>BA 13 hydrofuge</t>
  </si>
  <si>
    <t>BA 13 standard</t>
  </si>
  <si>
    <t>OUVRAGE BOIS</t>
  </si>
  <si>
    <t>Temie</t>
  </si>
  <si>
    <t>Balcon 1</t>
  </si>
  <si>
    <t>Horizontale type 1 (5x5cm)</t>
  </si>
  <si>
    <t>Horizontale type 2 (11x20cm)</t>
  </si>
  <si>
    <t>G &amp; D</t>
  </si>
  <si>
    <t>Horizontale type 2 (11x20cm) G &amp; D</t>
  </si>
  <si>
    <t xml:space="preserve">Garde-corps Escalier </t>
  </si>
  <si>
    <t>Garde-corps Bac à fleure</t>
  </si>
  <si>
    <t>Type 2 Droit</t>
  </si>
  <si>
    <t>Type 1 Cage</t>
  </si>
  <si>
    <t>RDC - R+1</t>
  </si>
  <si>
    <t>R+1 - R+2</t>
  </si>
  <si>
    <t>R+2 - R+3</t>
  </si>
  <si>
    <t>Main courante</t>
  </si>
  <si>
    <t>Garde-corps Mezzanine</t>
  </si>
  <si>
    <t>RDC au R+3</t>
  </si>
  <si>
    <t>Garde-corps Balcon &amp; Terrasse</t>
  </si>
  <si>
    <t>Bac à fleur</t>
  </si>
  <si>
    <t xml:space="preserve">Revêtement sol carreaux 60x60 </t>
  </si>
  <si>
    <t>4.11</t>
  </si>
  <si>
    <t>Revêtement sol carreaux 60x60 antiderapant</t>
  </si>
  <si>
    <t>Terrasse exterieure</t>
  </si>
  <si>
    <t>Terrasse n1</t>
  </si>
  <si>
    <t>Terrasse 01</t>
  </si>
  <si>
    <t>Terrasse 02</t>
  </si>
  <si>
    <t>Revêtement sol carreaux 30x30 antiderapant</t>
  </si>
  <si>
    <t>Plinthe carreaux 60x7 antiderapant</t>
  </si>
  <si>
    <t>Revêtement mural 10x20 H= 160</t>
  </si>
  <si>
    <t>Etanchéité bi couche Bac à fleur</t>
  </si>
  <si>
    <t>Fourniture et mise en œuvre bitume en deux couche croisées pour protection des ouvrage en béton armé en contact avec la terre, y compris toutes sujétions de mise en œuvre</t>
  </si>
  <si>
    <t>Fourniture et pose porte papier hygiénique, y compris tous les accessoires de pose et toutes sujétions de mise en œuvre. (Cf plan)</t>
  </si>
  <si>
    <t xml:space="preserve">Fourniture et mise en œuvre d'étanchéité bicouche, comprenant :
- Enduit d'imprégnation
- 1ere couche bande elastophene flam 180 à souder (SOPREMA) ou équivalent AXTER ou autre marque normée
- 2eme couche bande elastophene flam 180 à souder auto protégée (SOPREMA) ou équivalent AXTER ou autre marque normée
- Alvéole polyester
- Membrane géotextile
- Pissette PVC Ø 30
 -  y compris tous les accessoires et sujétions de pose  pour assurer une étanchéité parfaite </t>
  </si>
  <si>
    <t>Murs extérieurs</t>
  </si>
  <si>
    <t>Faux plafond pièces sèches</t>
  </si>
  <si>
    <t>Alimentation et distribution eau froide et eau chaude</t>
  </si>
  <si>
    <t>Procection bitumine</t>
  </si>
  <si>
    <t>Ens</t>
  </si>
  <si>
    <t>11.2</t>
  </si>
  <si>
    <t>11.3</t>
  </si>
  <si>
    <t>Fourniture et pose évier simple bac avec mitigeur,  y compris tous les accessoires de pose et toutes sujétions de mise en œuvre. (Cf plan)</t>
  </si>
  <si>
    <t>Fourniture et pose hotte de cuisine, y compris tous les accessoires de pose et toutes sujétions de mise en œuvre. (Cf plan)</t>
  </si>
  <si>
    <t>PH RDC</t>
  </si>
  <si>
    <t>PH R+1</t>
  </si>
  <si>
    <t>PH R+2</t>
  </si>
  <si>
    <t>Fourniture et mise en œuvre peinture à base de latex en dispersion acrylique sur murs intérieurs (bonne qualité), exécutée en deux couches croisées. Y compris toutes sujétions de mise en œuvre.</t>
  </si>
  <si>
    <r>
      <t>Fourniture et pose tuyau d'alimentation et distribution en PPR de tous diamètre, avec</t>
    </r>
    <r>
      <rPr>
        <i/>
        <sz val="9"/>
        <rFont val="Arial"/>
        <family val="2"/>
      </rPr>
      <t xml:space="preserve">
- Alimentations tous les appareils
- y compris coude, vanne d'arrêt1/4 , etc... et toutes accessoires de pose jusqu'à l'appareil avec toutes sujétions de pose et de mise en œuvre (cf. plan)</t>
    </r>
  </si>
  <si>
    <t>Nourrice</t>
  </si>
  <si>
    <t>Surpresseur</t>
  </si>
  <si>
    <t>Fourniture et pose siphon de sol, y compris tous les accessoires de pose et toutes sujétions de mise en œuvre. (Cf plan)</t>
  </si>
  <si>
    <t>16.1</t>
  </si>
  <si>
    <t>Electricité</t>
  </si>
  <si>
    <t>Protection bitumineuse</t>
  </si>
  <si>
    <t>Mise en œuvre arase étanche, y compris toutes sujétions de mise en œuvre</t>
  </si>
  <si>
    <t>Arase étanche</t>
  </si>
  <si>
    <t>Fourniture et mise en œuvre nourrice de distribution, y compris tous les accessoires de pose et mise en œuvre</t>
  </si>
  <si>
    <t xml:space="preserve">Fourniture et pose membrane de désolidarisation, y compris relevé et tous les accessoires de pose et sujétions de mise en œuvre. (cf. plan): type VELAPHONE Fibre 22 ou équivalent. (cf. plan) </t>
  </si>
  <si>
    <t>Membrane de désolidarisation</t>
  </si>
  <si>
    <t>Fourniture et mise en œuvre de bac à graisse en béton armé dosé à 350 kg/m3 de ciment CEMI 42,5 de dimension 120 x 60x 50cm comprenant : fouille, BP, radier, piédroit, enduit, remblai (cf. plan)</t>
  </si>
  <si>
    <t>Fourniture et mise en œuvre de regard de visite en béton armé dosé à 350 kg/m3 de ciment CEMI 42,5 de dimension 70 x 70x 70cm comprenant : fouille, BP, radier, piédroit, enduit, remblai. (cf. plan)</t>
  </si>
  <si>
    <t>Fourniture et mise en œuvre de regard de visite en béton armé dosé à 350 kg/m3 de ciment CEMI 42,5 de dimension 60 x 60x 50cm comprenant : fouille, BP, radier, piédroit, enduit, remblai. (cf. plan)</t>
  </si>
  <si>
    <t>Fourniture et mise en œuvre de regard de visite en béton armé dosé à 350 kg/m3 de ciment CEMI 42,5 de dimension 50 x 50x 50cm comprenant : fouille, BP, radier, piédroit, enduit, remblai. (cf. plan)</t>
  </si>
  <si>
    <r>
      <t xml:space="preserve">Fourniture et pose tuyau d'évacuation en PVC </t>
    </r>
    <r>
      <rPr>
        <sz val="9"/>
        <rFont val="Arial"/>
        <family val="2"/>
      </rPr>
      <t>Ø</t>
    </r>
    <r>
      <rPr>
        <i/>
        <sz val="10.35"/>
        <rFont val="Arial"/>
        <family val="2"/>
      </rPr>
      <t>100 au 150</t>
    </r>
    <r>
      <rPr>
        <i/>
        <sz val="9"/>
        <rFont val="Arial"/>
        <family val="2"/>
      </rPr>
      <t xml:space="preserve"> au dessus de lit de sable, épaisseur 10cm à l'extérieur du bâtiment , y compris fourniture et pose grillage avertisseur et tous les accessoires de pose et sujétions de mise en œuvre. (cf. plan)</t>
    </r>
  </si>
  <si>
    <t>Fourniture et pose pack Surpresseur 5 m3/h y/c raccordement hydraulique et électrique et toutes accessoires pour alimentation en eau du bâtiment</t>
  </si>
  <si>
    <t>Fourniture et pose pack WC à l’anglaise à chasse d’eau dorsale, y compris fourniture et pose des accessoires  et toutes sujétions de mise en œuvre. (Cf plan)</t>
  </si>
  <si>
    <t>MONTANT (En Ariary)</t>
  </si>
  <si>
    <t>QUANTITE</t>
  </si>
  <si>
    <t>MONTANT (Ar)</t>
  </si>
  <si>
    <t>PRIX UNITAIRE (Ar)</t>
  </si>
  <si>
    <t>Fouille en EXCAVATION</t>
  </si>
  <si>
    <t>Chape sous revêtement sol</t>
  </si>
  <si>
    <t>Fouille fondation</t>
  </si>
  <si>
    <t>Remblai</t>
  </si>
  <si>
    <t>Evacuation des terres excédentaires hors du site, y compris toutes sujétions de mise en œuvre</t>
  </si>
  <si>
    <t>Arase entanche</t>
  </si>
  <si>
    <t>Garde-corps Escalier droit</t>
  </si>
  <si>
    <t>BORDEREAU DE DETAILS QUANTITATIF : 
GROS ŒUVRE &amp; SECOND ŒUVRE</t>
  </si>
  <si>
    <t>Confection et mise en œuvre béton armé dosé à 350kg /m3 de Ciment CEM I 42,5,malaxé à la bétonnière avec fourniture et pose film polyane , y compris pervibration mécanique et toutes sujétions de mise en œuvre.</t>
  </si>
  <si>
    <t>Fourniture et pose cloison en BA13 standard simple plaque double face d'épaisseur 8cm avec 
- Laine de verre ou laine de roche 5cm d'épaisseur
- Structures métallique
 y compris toutes les accessoires de pose et toutes sujétions de mise en œuvre (cf. plan)</t>
  </si>
  <si>
    <t>Fourniture et mise en œuvre Film polyane, épaisseur 150 µ, placé entre le béton de forme et l’hérissonnage, y compris toutes sujétions de pose et de mise en œuvre.</t>
  </si>
  <si>
    <t>Confection et mise en œuvre béton ordinaire dosé à 300kg /m3 de Ciment CEM I 42,5,  épaisseur : 10cm malaxé à la bétonnière, y compris pervibration mécanique et toutes sujétions de mise en œuvre.</t>
  </si>
  <si>
    <r>
      <t xml:space="preserve"> Ouvrage en béton armé du superstructure </t>
    </r>
    <r>
      <rPr>
        <i/>
        <sz val="9"/>
        <rFont val="Arial"/>
        <family val="2"/>
      </rPr>
      <t>(Poteaux, poutres, linteaux, chainages, dalles, Toiture dalles , Terrasse, appui de baie, chéneau, Cache volet roulant, cache DEP, Paillasse de cuisine etc...)</t>
    </r>
  </si>
  <si>
    <t>Plafonnier 60x60</t>
  </si>
  <si>
    <t>SA</t>
  </si>
  <si>
    <t>SA etanche</t>
  </si>
  <si>
    <t>Bouton poussoir</t>
  </si>
  <si>
    <t>Spot type 2</t>
  </si>
  <si>
    <t>Plafonnier</t>
  </si>
  <si>
    <t>Aplique murale</t>
  </si>
  <si>
    <t>Plafonnier etanche</t>
  </si>
  <si>
    <t>Lustre</t>
  </si>
  <si>
    <t>Prise normale 2P+T</t>
  </si>
  <si>
    <t>Prise etanche 2P+T</t>
  </si>
  <si>
    <t>Prise sol</t>
  </si>
  <si>
    <t>Prise type 1</t>
  </si>
  <si>
    <t>Prise type 2</t>
  </si>
  <si>
    <t>Prise type 3</t>
  </si>
  <si>
    <t>Prise type 4</t>
  </si>
  <si>
    <t>Prise type 5</t>
  </si>
  <si>
    <t>TGBT</t>
  </si>
  <si>
    <t>TD ondulé</t>
  </si>
  <si>
    <t>Onduleur</t>
  </si>
  <si>
    <t>Plafonnier ext</t>
  </si>
  <si>
    <t xml:space="preserve">TD </t>
  </si>
  <si>
    <t>W</t>
  </si>
  <si>
    <t>Plafonnier 30x30</t>
  </si>
  <si>
    <t>Aplique murale etanche</t>
  </si>
  <si>
    <r>
      <rPr>
        <i/>
        <sz val="9"/>
        <color rgb="FF000000"/>
        <rFont val="Arial"/>
        <family val="2"/>
      </rPr>
      <t>Fouille en rigole ou en excavation,</t>
    </r>
    <r>
      <rPr>
        <i/>
        <sz val="9"/>
        <color indexed="8"/>
        <rFont val="Arial"/>
        <family val="2"/>
      </rPr>
      <t xml:space="preserve"> y compris toutes sujétions de mise en œuvre.</t>
    </r>
  </si>
  <si>
    <t>Confection et mise en œuvre béton de proprete dosé à 150kg /m3 de Ciment CEM I 42,5,  épaisseur : 5cm malaxé à la bétonnière, y compris pervibration mécanique et toutes sujétions de mise en œuvre.</t>
  </si>
  <si>
    <t>Semelle isolée</t>
  </si>
  <si>
    <t xml:space="preserve">Remblai </t>
  </si>
  <si>
    <t>Evacuationn des terres</t>
  </si>
  <si>
    <t>Fouille</t>
  </si>
  <si>
    <t>BP</t>
  </si>
  <si>
    <t xml:space="preserve">BA </t>
  </si>
  <si>
    <t>Refectoire</t>
  </si>
  <si>
    <t>Patio</t>
  </si>
  <si>
    <t>Cuve d'ascenseur</t>
  </si>
  <si>
    <r>
      <t xml:space="preserve">Confection et mise en œuvre cuve d'ascenseur en béton armé dosé à 350kg/m3 avec </t>
    </r>
    <r>
      <rPr>
        <i/>
        <sz val="11"/>
        <color indexed="8"/>
        <rFont val="Calibri"/>
        <family val="2"/>
      </rPr>
      <t>cuvelage de la cuvette d'ascenseu</t>
    </r>
    <r>
      <rPr>
        <i/>
        <sz val="10"/>
        <rFont val="Arial"/>
        <family val="2"/>
      </rPr>
      <t>r :
- Traitement du béton de la cuvette en additionnant des adjuvants plastifiants aux constituants du béton enterré avec RHEOBUILD 561M ou équivalent 
- Protection du béton à l'extérieur de la cuvette, application d'une émulsion de butime à la spatule avec MASTERSEAL 620 ou équivalent avec film polyane 200 µ au fond de la cuvette
- Revêtement de protection et imperméabilisation à l'intérieur de la cuvette avec MASTERSEAL 501 ou équivalent 
 y compris toutes sujétions de mise en œuvre.(cf. plan de détails)</t>
    </r>
  </si>
  <si>
    <t>Polyane 150</t>
  </si>
  <si>
    <t>Dépose avec soin : 
- Tuyau d'évacuation et tuyau d'alimentation
- Appareils sanitaires avec robinetteries
 , y compris tous les sujetion de pose et mise au dépôt de stockage désigné par le maître d'ouvrage.</t>
  </si>
  <si>
    <t>Plomberie-sanitaire</t>
  </si>
  <si>
    <t>Dépose avec soin : 
- TGBT 
- Cables
- Appareillages electrique
- Luminaires, 
 y compris dépose des protections (disjoncteurs)  et mise au dépôt de stockage désigné par le maître d'ouvrage.(cf. plan de démolition)</t>
  </si>
  <si>
    <t>Dépose avec soin
- Tuyau d'évacuation
- Regards
 y compris tous les accessoires de pose depuis les appareils jusqu'au regard.</t>
  </si>
  <si>
    <t>Assainissemet</t>
  </si>
  <si>
    <t>Démolition avec soin et vidange
- Fosse septique existante 
- Puisard avec nettoyage et enlèvement des gravois, débris, mâchefer etc…</t>
  </si>
  <si>
    <t>Fosse septique &amp; Puisard</t>
  </si>
  <si>
    <t>Béton arme en infrastructure &amp; superstructure</t>
  </si>
  <si>
    <t>Démolition avec soin tous les travaux en béton armé (infrastructure et superstructure), y compris évacuation des gravois hors du site si besoin. (cf. plan de démolition)</t>
  </si>
  <si>
    <t>Murs ép. 10 et 20cm</t>
  </si>
  <si>
    <t>Revêtement sol</t>
  </si>
  <si>
    <t xml:space="preserve">Faux plafond </t>
  </si>
  <si>
    <t>Dépose avec soin : 
- Charpente 
- Couverture
 y compris tous les accessoires de pose (Pannes, contreventement, faitiere etc...),avec dépose tous les accessoires et fixation, y compris évacuations des gravois hors de la site et mise au dépôt de stockage désigné par le maître d'ouvrage.</t>
  </si>
  <si>
    <t>Charpente et couverture</t>
  </si>
  <si>
    <t>Menuiserie Alunimium</t>
  </si>
  <si>
    <t>Menuiserie Métallique</t>
  </si>
  <si>
    <t>Menuiserie Bois</t>
  </si>
  <si>
    <t>Démolition avec soin maçonnerie de paraping  épaisseur 10 cm et 20cm avec :
- Dépose tous les revêtements mural
 y compris évacuation des gravois hors du site.</t>
  </si>
  <si>
    <r>
      <t>Dépose avec</t>
    </r>
    <r>
      <rPr>
        <i/>
        <sz val="9"/>
        <rFont val="Arial"/>
        <family val="2"/>
      </rPr>
      <t xml:space="preserve"> soin tous les faux plafond</t>
    </r>
    <r>
      <rPr>
        <i/>
        <sz val="9"/>
        <color indexed="8"/>
        <rFont val="Arial"/>
        <family val="2"/>
      </rPr>
      <t xml:space="preserve"> , y compris dépose tous les accessoires de pose et fixations avec évacuations des gravois hors de la site et mise au dépôt de stockage désigné par le maître d'ouvrage.</t>
    </r>
  </si>
  <si>
    <t>Dépose avec soin revêtement sol et support, y compris tous sujétions et mise au dépôt de stockage désigné par le maître d'ouvrage.</t>
  </si>
  <si>
    <t>Dépose avec soin toutes les menuiseries métallique existante avec dépose tous les accessoires de pose et fixations, y compris évacuations des gravois hors de la site et mise au dépôt de stockage désigné par le maître d'ouvrage.</t>
  </si>
  <si>
    <t>Dépose avec soin toutes les menuiseries bois existante avec dépose tous les accessoires de pose et fixations, y compris évacuations des gravois hors de la site et mise au dépôt de stockage désigné par le maître d'ouvrage.</t>
  </si>
  <si>
    <t>Dépose avec soin toutes les menuiseries  aluminium  existante avec dépose tous les accessoires de pose et fixations, y compris évacuations des gravois hors de la site et mise au dépôt de stockage désigné par le maître d'ouvrage.</t>
  </si>
  <si>
    <t>4.12</t>
  </si>
  <si>
    <t>Remblai pour encastrement, y compris épandage, réglage et arrosage, damage tous les 20cm et toutes sujétions.</t>
  </si>
  <si>
    <t>Excédentaires</t>
  </si>
  <si>
    <t>Fourniture et pose couche de fermeture en lit sable 5cm d'épaisseur, y compris toutes sujétion de mise en œuvre</t>
  </si>
  <si>
    <t>Vide sanitaire</t>
  </si>
  <si>
    <t>Axe 01</t>
  </si>
  <si>
    <t>Axe 02</t>
  </si>
  <si>
    <t>Axe 04</t>
  </si>
  <si>
    <t>Axe 05</t>
  </si>
  <si>
    <t>Axe 07</t>
  </si>
  <si>
    <t>Axe 09</t>
  </si>
  <si>
    <t>Axe 10</t>
  </si>
  <si>
    <t>Axe 12</t>
  </si>
  <si>
    <t>File A</t>
  </si>
  <si>
    <t>File B</t>
  </si>
  <si>
    <t>File F</t>
  </si>
  <si>
    <t>File H</t>
  </si>
  <si>
    <t>File I</t>
  </si>
  <si>
    <t>Dalle</t>
  </si>
  <si>
    <t>PH R+3</t>
  </si>
  <si>
    <t>Acrotere</t>
  </si>
  <si>
    <t>ESCALIER</t>
  </si>
  <si>
    <t xml:space="preserve">Vide sanitaire - RDC </t>
  </si>
  <si>
    <t>LINTEAU</t>
  </si>
  <si>
    <t xml:space="preserve">Confection et mise en œuvre bassin en béton armé, de dimensions 1,10x3,34x0,50m :  avec 
- Enduit au mortier de ciment étanche
- Fibre avec finition résine
 y compris fourniture et pose filtre pour réservoir d'eau et toutes sujétions de mise en œuvre. (cf. plan)
</t>
  </si>
  <si>
    <t>Bassin d'eau Pation RDC et  R+3</t>
  </si>
  <si>
    <t xml:space="preserve">Fourniture et mise en œuvre de maçonnerie de parpaing d'épaisseur 10 cm, hourdée au mortier de ciment dosé à 300kg/m3 CEMII, 1ere et 3eme rang hourdée au mortier de ciment hydrofugé au RDC, ainsi que toutes sujétions de mise en œuvre suivant les règles de l'art. (cf. plan) </t>
  </si>
  <si>
    <t xml:space="preserve">Fourniture et mise en œuvre de maçonnerie de parpaing d'épaisseur 20 cm, hourdée au mortier de ciment dosé à 300kg/m3 CEMII, 1ere et 3eme rang hourdée au mortier de ciment hydrofugé au RDC, ainsi que toutes sujétions de mise en œuvre suivant les règles de l'art. (cf. plan) </t>
  </si>
  <si>
    <t>Forme de pente cheneau , terrasses</t>
  </si>
  <si>
    <t>Fourniture et mise en œuvre enduits au mortier de ciment dosé à 300kg/m3 CEMII. Dressé sur repère de 1,5 cm d'épaisseur, tiré à la règle et exécuté en deux (2) passes. Le malaxage est fait mécaniquement, y compris toutes sujétions de mise en œuvre.(Cf plan)</t>
  </si>
  <si>
    <t>Fourniture et mise en œuvre enduits etanche au mortier de ciment dosé à 300kg/m3 CEMII. Dressé sur repère de 1,5 cm d'épaisseur, tiré à la règle et exécuté en deux (2) passes. Le malaxage est fait mécaniquement, y compris toutes sujétions de mise en œuvre.(Cf plan)</t>
  </si>
  <si>
    <t>Fourniture et pose faux plafond  dalle 60x60 , y compris tous les accessoires de pose et toutes sujétions de mise en œuvre (cf. plan)</t>
  </si>
  <si>
    <t>Faux plafond interieur</t>
  </si>
  <si>
    <t>Maçonnerie de Parpaing ep 10 cm</t>
  </si>
  <si>
    <t>Maçonnerie de Parpaing ep 20 cm</t>
  </si>
  <si>
    <t>Murs 10 int</t>
  </si>
  <si>
    <t>Enduit de ciment Hydrofugé dosé à 300kg/m3 exterieurs</t>
  </si>
  <si>
    <t xml:space="preserve"> </t>
  </si>
  <si>
    <t>70/210</t>
  </si>
  <si>
    <t xml:space="preserve"> Cloture File A</t>
  </si>
  <si>
    <t xml:space="preserve"> Cloture File I</t>
  </si>
  <si>
    <t xml:space="preserve"> Cloture Axe 0</t>
  </si>
  <si>
    <t>Axe 2</t>
  </si>
  <si>
    <t>Axe 3</t>
  </si>
  <si>
    <t>Axe 5</t>
  </si>
  <si>
    <t>Axe 6</t>
  </si>
  <si>
    <t>Axe 2 180x260</t>
  </si>
  <si>
    <t>Axe 2 140x260</t>
  </si>
  <si>
    <t>Axe 5 80x210</t>
  </si>
  <si>
    <t>Axe 5 252x280</t>
  </si>
  <si>
    <t>Axe 6 80x210</t>
  </si>
  <si>
    <t>Axe 10 180x250</t>
  </si>
  <si>
    <t>Archive</t>
  </si>
  <si>
    <t>LT &amp; serveur</t>
  </si>
  <si>
    <t>LT &amp; Serveur 80/210</t>
  </si>
  <si>
    <t>Archive 80/210</t>
  </si>
  <si>
    <t>Axe 1</t>
  </si>
  <si>
    <t>Axe 5,6 et 7</t>
  </si>
  <si>
    <t>Axe 13</t>
  </si>
  <si>
    <t>File H 5-7 40x145</t>
  </si>
  <si>
    <t>Axe 1 40x150</t>
  </si>
  <si>
    <t>Axe 1 360x110</t>
  </si>
  <si>
    <t>Axe 1  220x110</t>
  </si>
  <si>
    <t>Axe 5&amp;6 80x210</t>
  </si>
  <si>
    <t>Axe 13 40x150</t>
  </si>
  <si>
    <t xml:space="preserve">LT </t>
  </si>
  <si>
    <t>Chambre</t>
  </si>
  <si>
    <t>Separation WC SDE</t>
  </si>
  <si>
    <t>LT 80/210</t>
  </si>
  <si>
    <t>Chambre 90/210</t>
  </si>
  <si>
    <t>Axe 5 et 7</t>
  </si>
  <si>
    <t>File F 3-5 ,9x210</t>
  </si>
  <si>
    <t>Axe 1  180x150</t>
  </si>
  <si>
    <t>Axe 5&amp;7 80x210</t>
  </si>
  <si>
    <t>Bac à fleur 2</t>
  </si>
  <si>
    <t>Bac à fleur 1</t>
  </si>
  <si>
    <t>Bac à fleur Axe 5 File F-I</t>
  </si>
  <si>
    <t>Chainage rampant</t>
  </si>
  <si>
    <t xml:space="preserve">Axe 5 </t>
  </si>
  <si>
    <t>File I 273x1,2</t>
  </si>
  <si>
    <t>File I 334x1,2</t>
  </si>
  <si>
    <t>Mur acrotere</t>
  </si>
  <si>
    <t>Toiture dalle ascenseur</t>
  </si>
  <si>
    <t>Axe 10 380x250</t>
  </si>
  <si>
    <t>Axe 3 290x210</t>
  </si>
  <si>
    <t>Cloture en maçonnerie de paraping</t>
  </si>
  <si>
    <t>File A (Moin cloture)</t>
  </si>
  <si>
    <t xml:space="preserve"> File I (Moin cloture)</t>
  </si>
  <si>
    <t>Murs extérieurs sans mur de cloture</t>
  </si>
  <si>
    <t>Murs intérieurs sans mur de cloture</t>
  </si>
  <si>
    <t>Murs épaisseur 20cm sans de mur cloture</t>
  </si>
  <si>
    <t xml:space="preserve">Forme de pente dosé à 300kg /m3 </t>
  </si>
  <si>
    <t>Terrasse 04</t>
  </si>
  <si>
    <t>Terrasse 03</t>
  </si>
  <si>
    <t>Escalier vers R+1</t>
  </si>
  <si>
    <t>WC 01</t>
  </si>
  <si>
    <t>Salle d'attente</t>
  </si>
  <si>
    <t>WC2</t>
  </si>
  <si>
    <t>WC3</t>
  </si>
  <si>
    <t>Open space</t>
  </si>
  <si>
    <t>Bureau 02</t>
  </si>
  <si>
    <t>Bureau 01</t>
  </si>
  <si>
    <t>Archives</t>
  </si>
  <si>
    <t>SDE</t>
  </si>
  <si>
    <t>Cuisine/Séjour</t>
  </si>
  <si>
    <t>Bureau direction</t>
  </si>
  <si>
    <t>Salle de reunion 02</t>
  </si>
  <si>
    <t>Pallier</t>
  </si>
  <si>
    <t>TOITURE TERRASSE</t>
  </si>
  <si>
    <t>Ascenseur</t>
  </si>
  <si>
    <t>Fourniture et pose couverture en tole galvabac prelaque 60/100e, y compris tous les accessoires de pose et sujétions de mise en œuvre. (cf. plan)</t>
  </si>
  <si>
    <t>Sol et mural : Salle d'eau, WC, cuisine, kitchenette</t>
  </si>
  <si>
    <t>Cheneau , Toiture en BA,  Terrasse</t>
  </si>
  <si>
    <t>Fourniture et pose laine de verre epaisseur 8cm, y compris tous les accessoires de pose et sujétions de mise en œuvre. (cf. plan)</t>
  </si>
  <si>
    <t>Isolation phonique</t>
  </si>
  <si>
    <t>Laine de verre</t>
  </si>
  <si>
    <t>Sol WC RDC</t>
  </si>
  <si>
    <t>MURAL</t>
  </si>
  <si>
    <t>WC 2</t>
  </si>
  <si>
    <t>WC 3</t>
  </si>
  <si>
    <t>R+1 et R+2</t>
  </si>
  <si>
    <t>Toiture Terrasse ascenseur</t>
  </si>
  <si>
    <t xml:space="preserve">Bac à fleur </t>
  </si>
  <si>
    <t>Fourniture et mise en œuvre cunette en BA de dimensions, y compris toutes sujetions de mise en œuvre</t>
  </si>
  <si>
    <t xml:space="preserve">Fourniture et confection fosse septique en BA pour six (06) personnes, y compris toutes sujétions de confection, y compris toutes sujétions de mise en œuvre (cf. plan)
</t>
  </si>
  <si>
    <t xml:space="preserve">Fourniture et confection fosse septique en BA pour sieze (16) personnes, y compris toutes sujétions de confection, y compris toutes sujétions de mise en œuvre (cf. plan)
</t>
  </si>
  <si>
    <t>Pergola R+3</t>
  </si>
  <si>
    <t>Fourniture et pose pergola en bois (chez tropical wood) avec :
- Peinture final (Lasure)
-   y compris tous les accessoires de pose, fixations et toutes sujétions de mise en œuvre</t>
  </si>
  <si>
    <t xml:space="preserve">WC et SDE </t>
  </si>
  <si>
    <t>SDE et Cuisine</t>
  </si>
  <si>
    <t>Fourniture et pose Caniveau de douche
 y compris tous les accessoires de pose et toutes sujétions de mise en œuvre. (Cf plan)</t>
  </si>
  <si>
    <t>Fourniture et pose mitigeur et pomme de douche,
 y compris tous les accessoires de pose et toutes sujétions de mise en œuvre. (Cf plan)</t>
  </si>
  <si>
    <t>Fourniture et pose coffret électrique suivant études  pour courant normale, y compris fourniture et pose protection (disjoncteurs) toutes sujétions de mise en œuvre</t>
  </si>
  <si>
    <t>Fourniture et pose des conduits, des câbles électrique (prises, luminaires, volet roulant etc...) de toutes dimensions suivant plan, y compris connexion de toutes les appareillages, boite de dérivation et toutes sujétions de pose Cf plan</t>
  </si>
  <si>
    <r>
      <rPr>
        <i/>
        <sz val="9"/>
        <rFont val="Arial"/>
        <family val="2"/>
      </rPr>
      <t xml:space="preserve">Fourniture et confection mise à la terre composée des fil en cuivre, barrette de coupure, piquet de terre, y compris accessoires et toutes sujétions de mise en œuvre. </t>
    </r>
    <r>
      <rPr>
        <b/>
        <i/>
        <sz val="9"/>
        <rFont val="Arial"/>
        <family val="2"/>
      </rPr>
      <t xml:space="preserve">
</t>
    </r>
  </si>
  <si>
    <t>Fourniture et pose interrupteur Simple allumage (SA 01), marque Legrand, y compris fourniture et pose boite d'encastrement, plaque et  toutes sujétions de pose et de mise en œuvre Cf plan</t>
  </si>
  <si>
    <t>Fourniture et pose interrupteur va et vient (VV) marque Legrand, y compris fourniture et pose boite d'encastrement, plaque et  toutes sujétions de pose et de mise en œuvre Cf plan</t>
  </si>
  <si>
    <t>Fourniture et pose interrupteur Simple allumage étanche marque Legrand, y compris fourniture et pose boite d'encastrement, plaque et  toutes sujétions de pose et de mise en œuvre Cf plan</t>
  </si>
  <si>
    <t>Fourniture et pose éclairage plafonnier intérieure étanche, y compris toutes sujétions de pose et  de mise en œuvre Cf plan</t>
  </si>
  <si>
    <t>Fourniture et pose éclairage plafonnier étanche extérieure,  y compris toutes sujétions de pose et  de mise en œuvre Cf plan</t>
  </si>
  <si>
    <t>Fourniture et pose éclairage plafonnier 60x60 ,  y compris toutes sujétions de pose et  de mise en Cf plan</t>
  </si>
  <si>
    <t>Fourniture et pose applique lavabos ,  y compris toutes sujétions de pose et  de mise en œuvre Cf plan</t>
  </si>
  <si>
    <t>Fourniture et pose prise normale 2P+T 16A marque Legrand, y compris fourniture et pose boite d'encastrement, plaque et  toutes sujétions de pose et de mise en œuvre Cf plan</t>
  </si>
  <si>
    <t>Fourniture et pose tableau divisionnire suivant études  pour courant normale, y compris fourniture et pose protection (disjoncteurs) toutes sujétions de mise en œuvre</t>
  </si>
  <si>
    <t>TD</t>
  </si>
  <si>
    <t>Cables electrique</t>
  </si>
  <si>
    <t>Pique de terre</t>
  </si>
  <si>
    <t>Interrupteur W</t>
  </si>
  <si>
    <t>Fourniture et pose prise reseau RJ45 marque Legrand, y compris fourniture et pose boite d'encastrement, plaque et  toutes sujétions de pose et de mise en œuvre Cf plan</t>
  </si>
  <si>
    <t>Extincteur</t>
  </si>
  <si>
    <t>Fourniture et pose meuble de cuisine en melamine, y compris tous les accessoires de pose et toutes sujetion de mise en œuvre</t>
  </si>
  <si>
    <t>Meuble de cuisine</t>
  </si>
  <si>
    <t>XVII</t>
  </si>
  <si>
    <t>Standard</t>
  </si>
  <si>
    <t>Hydrofuge</t>
  </si>
  <si>
    <t>Acceuil</t>
  </si>
  <si>
    <t>Fourniture et pose cloison en BA13 hydrofuge simple plaque double face d'épaisseur 8cm avec 
- Laine de verre ou laine de roche 5cm d'épaisseur
- Structures métallique
 y compris toutes les accessoires de pose et toutes sujétions de mise en œuvre (cf. plan)</t>
  </si>
  <si>
    <t>Cloison en BA 13 WC &amp; LT</t>
  </si>
  <si>
    <t>Séjour</t>
  </si>
  <si>
    <t>Bureau de direction</t>
  </si>
  <si>
    <t>WC 4</t>
  </si>
  <si>
    <t>Mur cloison hydrofuge</t>
  </si>
  <si>
    <t>Mur cloison Standard</t>
  </si>
  <si>
    <t>Mur interieure</t>
  </si>
  <si>
    <t xml:space="preserve">Peinture exterieur </t>
  </si>
  <si>
    <t>Plafond : Salle d'eau, WC, SDE et cuisine</t>
  </si>
  <si>
    <t>Fourniture et mise en œuvre peinture speciale façade au bord de mer sur murs extérieurs (siloxane ou equivalent), exécutée en deux couches croisées. Y compris toutes sujétions de mise en œuvre.</t>
  </si>
  <si>
    <t>9.3</t>
  </si>
  <si>
    <t>9.4</t>
  </si>
  <si>
    <t>9.8</t>
  </si>
  <si>
    <t>9.9</t>
  </si>
  <si>
    <t>5.4</t>
  </si>
  <si>
    <t>5.5</t>
  </si>
  <si>
    <t>5.6</t>
  </si>
  <si>
    <t>5.7</t>
  </si>
  <si>
    <t>5.8</t>
  </si>
  <si>
    <t>5.10</t>
  </si>
  <si>
    <t>5.11</t>
  </si>
  <si>
    <t>6.3</t>
  </si>
  <si>
    <t>6.4</t>
  </si>
  <si>
    <t>6.10</t>
  </si>
  <si>
    <t>6.11</t>
  </si>
  <si>
    <t>7.8</t>
  </si>
  <si>
    <t>CLIMATISATION et VMC</t>
  </si>
  <si>
    <t>CLIMATISATION - VMC</t>
  </si>
  <si>
    <t>14.5</t>
  </si>
  <si>
    <t>14.6</t>
  </si>
  <si>
    <t>14.8</t>
  </si>
  <si>
    <t>14.10</t>
  </si>
  <si>
    <t>14.11</t>
  </si>
  <si>
    <t>14.12</t>
  </si>
  <si>
    <t>14.13</t>
  </si>
  <si>
    <t>Cloture</t>
  </si>
  <si>
    <t>17.1</t>
  </si>
  <si>
    <t>Climatiseur</t>
  </si>
  <si>
    <t xml:space="preserve">Fourniture et pose de climatiseurs split mural 12000 BTU froid seul, y compris raccordements électriques liaisons frigorifiques, évacuation des condensats support de groupe et accessoires de montage, télécommande infrarouge et toutes sujetions de pose et mise en oeuvre
</t>
  </si>
  <si>
    <t>Fourniture et pose interrupteur va et vient étanche(VV) marque Legrand, y compris fourniture et pose boite d'encastrement, plaque et  toutes sujétions de pose et de mise en œuvre Cf plan</t>
  </si>
  <si>
    <t>Fourniture et pose applique murale extérieure,  y compris toutes sujétions de pose et  de mise en œuvre Cf plan</t>
  </si>
  <si>
    <t>Eclairage extérieure</t>
  </si>
  <si>
    <t>Eclairage intérieure</t>
  </si>
  <si>
    <t>Eclairage intérieure étanche</t>
  </si>
  <si>
    <t>Fourniture et pose bande LED,  y compris toutes sujétions de pose et  de mise en Cf plan</t>
  </si>
  <si>
    <t>Fourniture et pose lampe fluorescente suspendue (divers longueurs) ,  y compris toutes sujétions de pose et  de mise en œuvre Cf plan</t>
  </si>
  <si>
    <t>Fourniture et pose projecteur ,  y compris toutes sujétions de pose et  de mise en œuvre Cf Plan</t>
  </si>
  <si>
    <t>Fourniture et pose lampe suspendue,  y compris toutes sujétions de pose et  de mise en œuvre Cf Plan</t>
  </si>
  <si>
    <t>Prise simple</t>
  </si>
  <si>
    <t>Prise réseau</t>
  </si>
  <si>
    <t>Fourniture et pose prise teléphone, y compris fourniture et pose boite d'encastrement, plaque et  toutes sujétions de pose et de mise en œuvre Cf plan</t>
  </si>
  <si>
    <t>Prise teléphone</t>
  </si>
  <si>
    <t>Fourniture et pose prise ondulé, y compris fourniture et pose boite d'encastrement, plaque et  toutes sujétions de pose et de mise en œuvre Cf plan</t>
  </si>
  <si>
    <t>Prise ondulé</t>
  </si>
  <si>
    <t>Fourniture et pose prise TV, y compris fourniture et pose boite d'encastrement, plaque et  toutes sujétions de pose et de mise en œuvre Cf plan</t>
  </si>
  <si>
    <t>Prise TV</t>
  </si>
  <si>
    <t>Fourniture et pose prise USB, y compris fourniture et pose boite d'encastrement, plaque et  toutes sujétions de pose et de mise en œuvre Cf plan</t>
  </si>
  <si>
    <t>Prise USB</t>
  </si>
  <si>
    <t>Fourniture et pose prise encastré, y compris fourniture et pose boite d'encastrement, plaque et  toutes sujétions de pose et de mise en œuvre Cf plan</t>
  </si>
  <si>
    <t>Prise encastré</t>
  </si>
  <si>
    <t>Fourniture et pose interrupteur volet, y compris fourniture et pose boite d'encastrement, plaque et  toutes sujétions de pose et de mise en œuvre Cf plan</t>
  </si>
  <si>
    <t>Interrupteur volet</t>
  </si>
  <si>
    <t>Y compris</t>
  </si>
  <si>
    <t>Fourniture et pose detecteur de fumée y compris tous les accéssoires et  toutes sujétions de pose et de mise en œuvre Cf plan</t>
  </si>
  <si>
    <t>Detecteur de fumé</t>
  </si>
  <si>
    <t xml:space="preserve"> Fourniture et pose extincteur en poudre, y compris tous sujetions de pose</t>
  </si>
  <si>
    <t>Fourniture et pose pack pompe de surface, y compris tous les accéssoires et  toutes sujétions de pose et de mise en œuvre Cf plan</t>
  </si>
  <si>
    <t>Pompe de surface</t>
  </si>
  <si>
    <t>Fourniture et pose miroir, y compris tous les accessoires de pose et toutes sujétions de mise en œuvre. (Cf plan)</t>
  </si>
  <si>
    <t>Fourniture et pose Bloc autonome d'éclairage de sécurité BAES, y compris tous les accessoires de pose et sujétions de mise œuvre.</t>
  </si>
  <si>
    <t>BAES</t>
  </si>
  <si>
    <t>15.1</t>
  </si>
  <si>
    <t>14.20</t>
  </si>
  <si>
    <t>Fourniture et pose citerne d'eau 1 000L , y compris tous les accessoires de pose et mise en œuvre (Marque Sita ou équivalent</t>
  </si>
  <si>
    <t>Citerne</t>
  </si>
  <si>
    <t>Fourniture et pose WC suspendu, y compris fourniture et pose des accessoires  et toutes sujétions de mise en œuvre. (Cf plan)</t>
  </si>
  <si>
    <t>Cuisine R+1 et R+2</t>
  </si>
  <si>
    <t>Fourniture et pose colone seche, y compris tous les accessoires de pose et sujétions de mise œuvre. (Cf plan d'alimentation)</t>
  </si>
  <si>
    <t>Colone seche</t>
  </si>
  <si>
    <t xml:space="preserve">WC </t>
  </si>
  <si>
    <t>SDE R+2</t>
  </si>
  <si>
    <t>SDE  R+2</t>
  </si>
  <si>
    <t xml:space="preserve">SDE </t>
  </si>
  <si>
    <t>Fourniture et pose equipement solaire, y compris tous les accessoires de pose et sujetion de mise en œuvre</t>
  </si>
  <si>
    <t>12.1</t>
  </si>
  <si>
    <r>
      <t xml:space="preserve">Fourniture et pose bloc porte en bois dur
- Serrure à 1 point
- Pose poignée et rosace
- Paumelle inox
-  Chambranle 2 faces en bois
- Butée de porte 
Y compris toutes sujétions de mise en œuvre
</t>
    </r>
    <r>
      <rPr>
        <b/>
        <i/>
        <sz val="9"/>
        <color theme="1"/>
        <rFont val="Arial"/>
        <family val="2"/>
      </rPr>
      <t>Dimensions hors tous = 700x2100mm</t>
    </r>
  </si>
  <si>
    <t>MEB 01 - RDC: LT</t>
  </si>
  <si>
    <t>1</t>
  </si>
  <si>
    <t>12.2</t>
  </si>
  <si>
    <r>
      <t xml:space="preserve">Fourniture et pose bloc porte isoplane
- Serrure à condamnation 
- Pose poignée et rosace
- Paumelle inox
-  Chambranle 2 faces en bois
- Butée de porte 
Y compris toutes sujétions de mise en œuvre
</t>
    </r>
    <r>
      <rPr>
        <b/>
        <i/>
        <sz val="9"/>
        <color theme="1"/>
        <rFont val="Arial"/>
        <family val="2"/>
      </rPr>
      <t>Dimensions hors tous = 800x2100mm</t>
    </r>
  </si>
  <si>
    <t xml:space="preserve">MEB 02a - RDC: WC 01
R+1: WC 02, WC 03
R+2 : WC 04, SDE </t>
  </si>
  <si>
    <t>6</t>
  </si>
  <si>
    <t>12.3</t>
  </si>
  <si>
    <r>
      <t xml:space="preserve">Fourniture et pose bloc porte en bois dur
- Serrure à 1 point
- Pose poignée et rosace
- Paumelle inox
-  Chambranle 2 faces en bois
- Butée de porte 
Y compris toutes sujétions de mise en œuvre
</t>
    </r>
    <r>
      <rPr>
        <b/>
        <i/>
        <sz val="9"/>
        <color theme="1"/>
        <rFont val="Arial"/>
        <family val="2"/>
      </rPr>
      <t>Dimensions hors tous = 800x2100mm</t>
    </r>
  </si>
  <si>
    <t>MEB 02b - R+1:LT, Local serveur
R+2: LT
R+3: WC 05</t>
  </si>
  <si>
    <t>4</t>
  </si>
  <si>
    <t>12.4</t>
  </si>
  <si>
    <r>
      <t xml:space="preserve">Fourniture et pose bloc porte en bois dur
- Serrure à 3 points
- Pose poignée et rosace
- Paumelle inox
-  Chambranle 2 faces en bois
- Butée de porte 
Y compris toutes sujétions de mise en œuvre
</t>
    </r>
    <r>
      <rPr>
        <b/>
        <i/>
        <sz val="9"/>
        <color theme="1"/>
        <rFont val="Arial"/>
        <family val="2"/>
      </rPr>
      <t>Dimensions hors tous = 800x2100mm</t>
    </r>
  </si>
  <si>
    <t xml:space="preserve">MEB 02c - R+1:Archives </t>
  </si>
  <si>
    <t>12.5</t>
  </si>
  <si>
    <t>MEB 03 - R+1: Salle de réunion 01
R+2: Salle de réunion 02</t>
  </si>
  <si>
    <t>2</t>
  </si>
  <si>
    <t>12.6</t>
  </si>
  <si>
    <r>
      <t xml:space="preserve">Fourniture et pose bloc porte en bois dur
- Serrure à 3 points
- Pose poignée et rosace
- Paumelle inox
-  Chambranle 2 faces en bois
- Butée de porte 
Y compris toutes sujétions de mise en œuvre
</t>
    </r>
    <r>
      <rPr>
        <b/>
        <i/>
        <sz val="9"/>
        <color theme="1"/>
        <rFont val="Arial"/>
        <family val="2"/>
      </rPr>
      <t>Dimensions hors tous = 900x2100mm</t>
    </r>
  </si>
  <si>
    <t>MEB 04a - R+2: Sejour</t>
  </si>
  <si>
    <t>12.7</t>
  </si>
  <si>
    <r>
      <t xml:space="preserve">Fourniture et pose bloc porte en bois dur
- Serrure à 1 point
- Pose poignée et rosace
- Paumelle inox
-  Chambranle 2 faces en bois
- Butée de porte 
Y compris toutes sujétions de mise en œuvre
</t>
    </r>
    <r>
      <rPr>
        <b/>
        <i/>
        <sz val="9"/>
        <color theme="1"/>
        <rFont val="Arial"/>
        <family val="2"/>
      </rPr>
      <t>Dimensions hors tous = 900x2100mm</t>
    </r>
  </si>
  <si>
    <t>MEB 04b - R+2: Chambre</t>
  </si>
  <si>
    <t>12.8</t>
  </si>
  <si>
    <r>
      <t xml:space="preserve">Fourniture et pose bloc porte en bois dur ouvrant à la française:
- Ouvrante (900x2100mm)
- Serrure 01 point avec cylindre, Jeu de 3 clés non duplicable
- Pose poignée et rosace
- Paumelle inox ou en aluminium 
- Chambranles 2 faces en bois
- Butée de porte 
- Peinture lasure
- Support métallique en tube 50x30x3mm
Y compris toutes sujétions de mise en œuvre
</t>
    </r>
    <r>
      <rPr>
        <b/>
        <i/>
        <sz val="9"/>
        <color theme="1"/>
        <rFont val="Arial"/>
        <family val="2"/>
      </rPr>
      <t xml:space="preserve"> Dimensions hors tous = 900x2100mm</t>
    </r>
  </si>
  <si>
    <t>MEB 05 - R+3: Sortie terrasse</t>
  </si>
  <si>
    <t>12.9</t>
  </si>
  <si>
    <t>MEB 06a - R+1: Bureau 01, bureau 02</t>
  </si>
  <si>
    <t>12.10</t>
  </si>
  <si>
    <t>MEB 06b - R+2: Bureau direction</t>
  </si>
  <si>
    <t>12.11</t>
  </si>
  <si>
    <r>
      <t xml:space="preserve">Fourniture et pose bloc porte en bois dur ouvrant à la française:
- Ouvrante (900x2100mm), fixe (900x700mm)
- Serrure 01 point avec cylindre, Jeu de 3 clés non duplicable
- Pose poignée et rosace
- Paumelle inox ou en aluminium 
- Chambranles 2 faces en bois
- Butée de porte 
- Peinture lasure
- Support métallique en tube 50x30x3mm
Y compris toutes sujétions de mise en œuvre
</t>
    </r>
    <r>
      <rPr>
        <b/>
        <i/>
        <sz val="9"/>
        <color theme="1"/>
        <rFont val="Arial"/>
        <family val="2"/>
      </rPr>
      <t xml:space="preserve"> Dimensions hors tous = 900x2800mm</t>
    </r>
  </si>
  <si>
    <t>MEB 07 - RDC: Hall</t>
  </si>
  <si>
    <t>13.1</t>
  </si>
  <si>
    <r>
      <t xml:space="preserve">Fourniture et pose baie vitrée à 1 vantail fixe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Vitrage feuilleté 4.4.2
Y compris toutes sujétions de mise en œuvre
</t>
    </r>
    <r>
      <rPr>
        <b/>
        <i/>
        <sz val="9"/>
        <rFont val="Arial"/>
        <family val="2"/>
      </rPr>
      <t>Dimensions hors tout = 1800x2500mm</t>
    </r>
  </si>
  <si>
    <t>MALU 01 - RDC: Accueil</t>
  </si>
  <si>
    <t>13.2</t>
  </si>
  <si>
    <r>
      <t xml:space="preserve">Fourniture et pose baie vitrée à 3 vantaux en aluminium noir, 
- 1 ouvrant à la française (1000x2500mm), 2 fixes sur les 02 côtés (1400x2500mm),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sensibles)                
- Système de drainage et toute sujétions de mise en oeuvre
- Serrure 3 points 
- Barre maréchal
- Butée de porte
- Ferme porte hydrolique automatique sur l'ouvrant
- Seuil et balai brosse
- Vitrage feuilleté antélio 4.4.2
Y compris toutes sujétions de mise en oeuvre.
</t>
    </r>
    <r>
      <rPr>
        <b/>
        <i/>
        <sz val="9"/>
        <rFont val="Arial"/>
        <family val="2"/>
      </rPr>
      <t>Dimensions hors tous = 3800x2500mm</t>
    </r>
  </si>
  <si>
    <t>MALU 02 - RDC: Hall</t>
  </si>
  <si>
    <t>13.3</t>
  </si>
  <si>
    <r>
      <t xml:space="preserve">Fourniture et pose baie vitrée fixe à 2 vantaux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Vitrage feuilleté 4.4.2
Y compris toutes sujétions de mise en œuvre
</t>
    </r>
    <r>
      <rPr>
        <b/>
        <i/>
        <sz val="9"/>
        <rFont val="Arial"/>
        <family val="2"/>
      </rPr>
      <t>Dimensions hors tout = 2900x2100mm</t>
    </r>
  </si>
  <si>
    <t>MALU 03 - RDC: Dégagement</t>
  </si>
  <si>
    <t>13.4</t>
  </si>
  <si>
    <r>
      <t xml:space="preserve">Fourniture et pose porte pleine (900x2600mm) à 1 vantail avec tièrce vitré fixe en aluminium noir
- Porte ouvrante (900x2100mm), fixe (900x500mm)
- Tièrce vitrée ( 500x2600mm)
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Vitrage feuilleté 4.4.2
- Serrure à 3 points
- Poignée en aluminium avec rosace
- 3 paumelle 140mm
- Butée de porte
Y compris toutes sujétions de mise en œuvre
</t>
    </r>
    <r>
      <rPr>
        <b/>
        <i/>
        <sz val="9"/>
        <rFont val="Arial"/>
        <family val="2"/>
      </rPr>
      <t>Dimensions hors tout = 1400x2600mm</t>
    </r>
  </si>
  <si>
    <t>MALU 04 - RDC: Refectoire</t>
  </si>
  <si>
    <t>13.5</t>
  </si>
  <si>
    <r>
      <t xml:space="preserve">Fourniture et pose baie vitrée coulissante à 2 vantaux, 02 rails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Serrure fermeture encastrée pour baie coulissante alu silene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1800x2600mm</t>
    </r>
  </si>
  <si>
    <t>MALU 05 - RDC: Refectoire</t>
  </si>
  <si>
    <t>13.6</t>
  </si>
  <si>
    <r>
      <t xml:space="preserve">Fourniture et pose baie vitrée à 2 vantaux en aluminium noir,
- 01 vantail coulissante, 01 vantail fixe,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2520x2800mm</t>
    </r>
  </si>
  <si>
    <t>MALU 06 - RDC: Refectoire</t>
  </si>
  <si>
    <t>13.7</t>
  </si>
  <si>
    <r>
      <t xml:space="preserve">Fourniture et pose baie vitrée fixe à 1 vantail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1540x2800mm</t>
    </r>
  </si>
  <si>
    <t>MALU 07 - RDC: Dégagement</t>
  </si>
  <si>
    <t>13.8</t>
  </si>
  <si>
    <r>
      <t xml:space="preserve">Fourniture et pose baie vitrée coulissante à 2 vantaux, 2 rails en aluminium noir, 
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Serrure fermeture encastrée pour baie coulissante alu silene
- Vitrage feuilleté 4.4.2
Y compris toutes sujétions de mise en oeuvre.
</t>
    </r>
    <r>
      <rPr>
        <b/>
        <i/>
        <sz val="9"/>
        <color indexed="8"/>
        <rFont val="Arial"/>
        <family val="2"/>
      </rPr>
      <t>Dimensions hors tout = 1800x2800mm</t>
    </r>
  </si>
  <si>
    <t>MALU 08 - RDC: Dégagement</t>
  </si>
  <si>
    <t>13.9</t>
  </si>
  <si>
    <r>
      <t xml:space="preserve">Fourniture et pose baie vitrée à 3 vantaux en aluminium noir, 
 - 2 vantaux fixes sur les côtés, 
- 1 vantail coulissant
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Serrure fermeture encastrée pour baie coulissante alu silene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3800x2800mm</t>
    </r>
  </si>
  <si>
    <t>MALU 09 - RDC: Hall</t>
  </si>
  <si>
    <t>13.10</t>
  </si>
  <si>
    <r>
      <t xml:space="preserve">Fourniture et pose châssis vitré à 1 vantail en aluminium noir,
- Oscillo battant
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appuis de fenêtres et relevés)                
- Serrure fermeture encastrée 
- Appui en tôle d'aluminium laqué formant rejet d'eau avec obturation.
- Bavette en aluminium 
- Système de drainage et toute sujétions de mise en oeuvre
- Vitrage feuilleté 4.4.2
Y compris toutes sujétions de mise en oeuvre.
</t>
    </r>
    <r>
      <rPr>
        <b/>
        <i/>
        <sz val="9"/>
        <color indexed="8"/>
        <rFont val="Arial"/>
        <family val="2"/>
      </rPr>
      <t>Dimensions hors tout = 500x1600mm</t>
    </r>
  </si>
  <si>
    <t>MALU 10a - R+1: Salle de réunion 01, 
Bureau 01
R+2: Salle de réunion 02, 
Bureau direction</t>
  </si>
  <si>
    <t>14</t>
  </si>
  <si>
    <t>13.11</t>
  </si>
  <si>
    <r>
      <t xml:space="preserve">Fourniture et pose chassis vitré à 1 vantail fixe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Appui en tôle d'aluminium laqué formant rejet d'eau avec obturation.
- Bavette en aluminium 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500x1600mm</t>
    </r>
  </si>
  <si>
    <t xml:space="preserve">MALU 10b - R+1: Salle de réunion 01
R+2: Salle de réunion 02, 
</t>
  </si>
  <si>
    <t>13.12</t>
  </si>
  <si>
    <r>
      <t xml:space="preserve">Fourniture et pose chassis vitré à 3 vantaux en aluminium noir, 
- 2 coulissants et 1 fixe:
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Serrure fermeture encastrée 
- Appui en tôle d'aluminium laqué formant rejet d'eau avec obturation.
- Bavette en aluminium 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3600x1100mm</t>
    </r>
  </si>
  <si>
    <r>
      <t xml:space="preserve">MALU 11 - </t>
    </r>
    <r>
      <rPr>
        <i/>
        <sz val="9"/>
        <color theme="1"/>
        <rFont val="Arial"/>
        <family val="2"/>
      </rPr>
      <t>R+1: Open space</t>
    </r>
    <r>
      <rPr>
        <b/>
        <i/>
        <sz val="9"/>
        <color theme="1"/>
        <rFont val="Arial"/>
        <family val="2"/>
      </rPr>
      <t xml:space="preserve">
</t>
    </r>
  </si>
  <si>
    <t>13.13</t>
  </si>
  <si>
    <r>
      <t xml:space="preserve">Fourniture et pose chassis vitré coulissant à 2 vantaux, 02 rails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Serrure fermeture encastrée
- Appui en tôle d'aluminium laqué formant rejet d'eau avec obturation.
- Bavette en aluminium 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2200x1100mm</t>
    </r>
  </si>
  <si>
    <r>
      <t xml:space="preserve">MALU 12 - </t>
    </r>
    <r>
      <rPr>
        <i/>
        <sz val="9"/>
        <color theme="1"/>
        <rFont val="Arial"/>
        <family val="2"/>
      </rPr>
      <t>R+1: Bureau 02</t>
    </r>
    <r>
      <rPr>
        <b/>
        <i/>
        <sz val="9"/>
        <color theme="1"/>
        <rFont val="Arial"/>
        <family val="2"/>
      </rPr>
      <t xml:space="preserve">
</t>
    </r>
  </si>
  <si>
    <t>13.14</t>
  </si>
  <si>
    <r>
      <t xml:space="preserve">Fourniture et pose baie vitrée coulissante à 3 vantaux, 3 rails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Serrure fermeture encastrée pour baie coulissante alu silene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3800x2500mm</t>
    </r>
  </si>
  <si>
    <t>MALU 13 - R+1: Dégagement, salle de réunion 01
R+2: Sejour, Salle de réunion 02</t>
  </si>
  <si>
    <t>13.15</t>
  </si>
  <si>
    <r>
      <t xml:space="preserve">Fourniture et pose baie vitrée à 1 vantail fixe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Vitrage feuilleté 4.4.2
Y compris toutes sujétions de mise en oeuvre.
</t>
    </r>
    <r>
      <rPr>
        <b/>
        <i/>
        <sz val="9"/>
        <color indexed="8"/>
        <rFont val="Arial"/>
        <family val="2"/>
      </rPr>
      <t>Dimensions hors tout = 1540x2500mm</t>
    </r>
  </si>
  <si>
    <t>MALU 14 - R+1: Escalier
R+2: Escalier</t>
  </si>
  <si>
    <t>13.16</t>
  </si>
  <si>
    <r>
      <t xml:space="preserve">Fourniture et pose baie vitrée à 1 vantail fixe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Vitrage feuilleté 4.4.2
Y compris toutes sujétions de mise en oeuvre.
</t>
    </r>
    <r>
      <rPr>
        <b/>
        <i/>
        <sz val="9"/>
        <color indexed="8"/>
        <rFont val="Arial"/>
        <family val="2"/>
      </rPr>
      <t>Dimensions hors tout = 1800x2500mm</t>
    </r>
  </si>
  <si>
    <t>MALU 15 - R+1: Salle de réunion 01
R+2: Salle de réunion 02</t>
  </si>
  <si>
    <t>13.17</t>
  </si>
  <si>
    <r>
      <t xml:space="preserve">Fourniture et pose baie vitrée coulissante à 3 vantaux, 03 rails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Serrure fermeture encastrée pour baie coulissante alu silene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3600x2500mm</t>
    </r>
  </si>
  <si>
    <t>MALU 16 - R+2: Bureau direction</t>
  </si>
  <si>
    <t>13.18</t>
  </si>
  <si>
    <r>
      <t xml:space="preserve">Fourniture et pose baie vitrée coulissante à 2 vantaux, 02 rails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Serrure fermeture encastrée pour baie coulissante alu silene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2200x2500mm</t>
    </r>
  </si>
  <si>
    <t>MALU 17 - R+2: Sejour</t>
  </si>
  <si>
    <t>13.19</t>
  </si>
  <si>
    <r>
      <t xml:space="preserve">Fourniture et pose chassis vitré coulissante à 2 vantaux, 02 rails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Serrure fermeture encastrée
- Appui en tôle d'aluminium laqué formant rejet d'eau avec obturation.
- Bavette en aluminium 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1800x1500mm</t>
    </r>
  </si>
  <si>
    <t>MALU 18 - Chambre</t>
  </si>
  <si>
    <t>13.20</t>
  </si>
  <si>
    <r>
      <t xml:space="preserve">Fourniture et pose chassis vitré en aluminium noir,
- Oscillo battant,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Serrure fermeture 
- Appui en tôle d'aluminium laqué formant rejet d'eau avec obturation.
- Bavette en aluminium 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400x1450mm</t>
    </r>
  </si>
  <si>
    <t>MALU 19 - RDC: WC 01
R+1: WC 03 - WC 02
R+2: SDE, WC 03</t>
  </si>
  <si>
    <t>5</t>
  </si>
  <si>
    <r>
      <t xml:space="preserve">Fourniture et pose baie vitrée à 1 vantail fixe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Vitrage feuilleté 4.4.2
Y compris toutes sujétions de mise en oeuvre.
</t>
    </r>
    <r>
      <rPr>
        <b/>
        <i/>
        <sz val="9"/>
        <color indexed="8"/>
        <rFont val="Arial"/>
        <family val="2"/>
      </rPr>
      <t>Dimensions hors tout = 1540x2200mm</t>
    </r>
  </si>
  <si>
    <t>MALU 20 - R+3: Palier</t>
  </si>
  <si>
    <r>
      <t xml:space="preserve">Fourniture et pose cloison vitrée en aluminium noir
- Un vantail fixe
- Vitrage vitrophanie
- vitrage feuilleté 4,4,2, 
Y compris toutes sujétions de mise en oeuvre.
</t>
    </r>
    <r>
      <rPr>
        <b/>
        <i/>
        <sz val="9"/>
        <color theme="1"/>
        <rFont val="Arial"/>
        <family val="2"/>
      </rPr>
      <t>Dimensions hors tout = 1000x2500mm</t>
    </r>
  </si>
  <si>
    <t>MALU 21 - R+1: Bureau 01
R+2: Bureau direction</t>
  </si>
  <si>
    <r>
      <t xml:space="preserve">Fourniture et pose porte vitrée aluminium noir, 
- un vantail
- ouvrant à la française
- Serrure 1 point
- Butée de porte
- Vitrage feuilleté 4.4.2 
- Ferme porte
Y compris toutes sujétions de mise en oeuvre.
</t>
    </r>
    <r>
      <rPr>
        <b/>
        <i/>
        <sz val="9"/>
        <color theme="1"/>
        <rFont val="Arial"/>
        <family val="2"/>
      </rPr>
      <t>Dimensions hors tous = 800x2100mm</t>
    </r>
  </si>
  <si>
    <t>MALU 22 - RDC: Dégagement</t>
  </si>
  <si>
    <r>
      <t xml:space="preserve">Fourniture et pose fenêtre jalousie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Poignée d'ouverture
- Bavette en aluminium
- Vitrage clair
Y compris toutes sujétions de mise en oeuvre.
</t>
    </r>
    <r>
      <rPr>
        <b/>
        <i/>
        <sz val="9"/>
        <color indexed="8"/>
        <rFont val="Arial"/>
        <family val="2"/>
      </rPr>
      <t>Dimensions hors tout = 600x600mm</t>
    </r>
  </si>
  <si>
    <t>MALU 23 - R+3: WC 04</t>
  </si>
  <si>
    <r>
      <t xml:space="preserve">Fourniture et pose cloison vitrée à 1 vantail fixe en aluminium noir:
- vitrage feuilleté 4,4,2
Y compris toutes sujétions de mise en oeuvre.
</t>
    </r>
    <r>
      <rPr>
        <b/>
        <i/>
        <sz val="9"/>
        <color theme="1"/>
        <rFont val="Arial"/>
        <family val="2"/>
      </rPr>
      <t>Dimensions hors tout = 1490x2800mm</t>
    </r>
  </si>
  <si>
    <t>MALU 24 - RDC: Hall</t>
  </si>
  <si>
    <r>
      <t xml:space="preserve">Fourniture et pose cloison vitrée à 2 vantaux en aluminium noir:
- vitrage feuilleté 4,4,2
Y compris toutes sujétions de mise en oeuvre.
</t>
    </r>
    <r>
      <rPr>
        <b/>
        <i/>
        <sz val="9"/>
        <color theme="1"/>
        <rFont val="Arial"/>
        <family val="2"/>
      </rPr>
      <t>Dimensions hors tout = 3510x2500mm</t>
    </r>
  </si>
  <si>
    <t>MALU 25 - R+1: Bureau 01</t>
  </si>
  <si>
    <r>
      <t xml:space="preserve">Fourniture et pose cloison vitrée à 2 vantaux en aluminium noir:
- vitrage feuilleté 4,4,2
Y compris toutes sujétions de mise en oeuvre.
</t>
    </r>
    <r>
      <rPr>
        <b/>
        <i/>
        <sz val="9"/>
        <color theme="1"/>
        <rFont val="Arial"/>
        <family val="2"/>
      </rPr>
      <t>Dimensions hors tout = 3430x2500mm</t>
    </r>
  </si>
  <si>
    <t>MALU 26 - R+1: Bureau 02</t>
  </si>
  <si>
    <r>
      <t xml:space="preserve">Fourniture et pose cloison vitrée fixe à 3 vantaux en aluminium noir:
- vitrage feuilleté 4,4,2
Y compris toutes sujétions de mise en oeuvre.
</t>
    </r>
    <r>
      <rPr>
        <b/>
        <i/>
        <sz val="9"/>
        <color indexed="8"/>
        <rFont val="Arial"/>
        <family val="2"/>
      </rPr>
      <t>Dimensions hors tout = 3750x2500mm</t>
    </r>
  </si>
  <si>
    <t>MALU 27 - R+1: Bureau 02</t>
  </si>
  <si>
    <r>
      <t xml:space="preserve">Fourniture et pose cloison vitrée à 2 vantaux en aluminium noir:
- Vitrage vitrophanie
- vitrage feuilleté 4,4,2
Y compris toutes sujétions de mise en oeuvre.
</t>
    </r>
    <r>
      <rPr>
        <b/>
        <i/>
        <sz val="9"/>
        <color theme="1"/>
        <rFont val="Arial"/>
        <family val="2"/>
      </rPr>
      <t>Dimensions hors tout = 3370x2500mm</t>
    </r>
  </si>
  <si>
    <t>MALU 28 - R+2: Bureau direction</t>
  </si>
  <si>
    <r>
      <t xml:space="preserve">Fourniture et pose cloison vitrée à 1 vantail en aluminium noir:étanche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
- vitrage feuilleté 4,4,2
Y compris toutes sujétions de mise en oeuvre.
</t>
    </r>
    <r>
      <rPr>
        <b/>
        <i/>
        <sz val="9"/>
        <color indexed="8"/>
        <rFont val="Arial"/>
        <family val="2"/>
      </rPr>
      <t>Dimensions hors tout = 1970x2100mm</t>
    </r>
  </si>
  <si>
    <t>MALU 29 - R+3: Terrasse 03</t>
  </si>
  <si>
    <r>
      <t xml:space="preserve">Fourniture et pose bloc porte pleine en aluminium noir
- Serrure à 3 points
- Poignée en aluminium avec rosace
- 3 paumelle 140mm
- Butée de porte
- Ferme porte automatique
Y compris toutes sujétions de mise en œuvre
</t>
    </r>
    <r>
      <rPr>
        <b/>
        <i/>
        <sz val="9"/>
        <color theme="1"/>
        <rFont val="Arial"/>
        <family val="2"/>
      </rPr>
      <t>Dimensions hors tous = 1000x2100mm</t>
    </r>
  </si>
  <si>
    <t>MALU 30 - RDC: Entrée de service</t>
  </si>
  <si>
    <r>
      <t xml:space="preserve">Fourniture et pose grillage mostiquaire en aluminium
-  y compris tous les accessoires de pose et sujétions de mise en œuvre (cf. plan)
</t>
    </r>
    <r>
      <rPr>
        <b/>
        <i/>
        <sz val="9"/>
        <color indexed="8"/>
        <rFont val="Arial"/>
        <family val="2"/>
      </rPr>
      <t>Dimensions hors tous = 2800x300mm</t>
    </r>
  </si>
  <si>
    <t>GM 01 - Vide sanitaire: Patio</t>
  </si>
  <si>
    <r>
      <t xml:space="preserve">Fourniture et pose grillage mostiquaire en aluminium
-  y compris tous les accessoires de pose et sujétions de mise en œuvre (cf. plan)
</t>
    </r>
    <r>
      <rPr>
        <b/>
        <i/>
        <sz val="9"/>
        <color theme="1"/>
        <rFont val="Arial"/>
        <family val="2"/>
      </rPr>
      <t>Dimensions hors tous = 1800x300mm</t>
    </r>
  </si>
  <si>
    <t>GM 02 - Vide sanitaire: Patio</t>
  </si>
  <si>
    <r>
      <t xml:space="preserve">Fourniture et pose grillage mostiquaire en aluminium
-  y compris tous les accessoires de pose et sujétions de mise en œuvre (cf. plan)
</t>
    </r>
    <r>
      <rPr>
        <b/>
        <i/>
        <sz val="9"/>
        <color theme="1"/>
        <rFont val="Arial"/>
        <family val="2"/>
      </rPr>
      <t>Dimensions hors tous = 1360x300mm</t>
    </r>
  </si>
  <si>
    <t>GM 03 - Vide sanitaire: Patio</t>
  </si>
  <si>
    <r>
      <t xml:space="preserve">Fourniture et pose grillage mostiquaire en aluminium
-  y compris tous les accessoires de pose et sujétions de mise en œuvre (cf. plan)
</t>
    </r>
    <r>
      <rPr>
        <b/>
        <i/>
        <sz val="9"/>
        <color theme="1"/>
        <rFont val="Arial"/>
        <family val="2"/>
      </rPr>
      <t>Dimensions hors tous = 1520x300mm</t>
    </r>
  </si>
  <si>
    <t>GM 04 - Vide sanitaire: Patio</t>
  </si>
  <si>
    <r>
      <t xml:space="preserve">Fourniture et pose garde-corps en verre sans main courante
- Support sabot en aluminium
- Boulon de fixation
- Vitrage feuilleté 8.8.2
Y compris tous les accessoires de pose et sujétions de mise en oeuvre
</t>
    </r>
    <r>
      <rPr>
        <b/>
        <i/>
        <sz val="9"/>
        <color theme="1"/>
        <rFont val="Arial"/>
        <family val="2"/>
      </rPr>
      <t>Dimensions = 2400x1000mm</t>
    </r>
  </si>
  <si>
    <t>GC 01 - R+1: salle d'attente 01</t>
  </si>
  <si>
    <r>
      <t xml:space="preserve">Fourniture et pose garde-corps en verre sans main courante
- Support sabot en aluminium
- Boulon de fixation
- Vitrage feuilleté 8.8.2
Y compris tous les accessoires de pose et sujétions de mise en oeuvre
</t>
    </r>
    <r>
      <rPr>
        <b/>
        <i/>
        <sz val="9"/>
        <color theme="1"/>
        <rFont val="Arial"/>
        <family val="2"/>
      </rPr>
      <t>Dimensions = 4900x1000mm</t>
    </r>
  </si>
  <si>
    <t>GC 02 - R+1: salle d'attente 01</t>
  </si>
  <si>
    <r>
      <t xml:space="preserve">Fourniture et pose garde-corps en verre sans main courante
- Support sabot en aluminium
- Boulon de fixation
- Vitrage feuilleté 8.8.2
Y compris tous les accessoires de pose et sujétions de mise en oeuvre
</t>
    </r>
    <r>
      <rPr>
        <b/>
        <i/>
        <sz val="9"/>
        <color theme="1"/>
        <rFont val="Arial"/>
        <family val="2"/>
      </rPr>
      <t>Dimensions = 300x1000mm</t>
    </r>
  </si>
  <si>
    <t>GC 03 - R+1: Dégagement</t>
  </si>
  <si>
    <r>
      <t xml:space="preserve">Fourniture et pose garde-corps en verre sans main courante
- Support sabot en aluminium
- Boulon de fixation
- Vitrage feuilleté 8.8.2
Y compris tous les accessoires de pose et sujétions de mise en oeuvre
</t>
    </r>
    <r>
      <rPr>
        <b/>
        <i/>
        <sz val="9"/>
        <color indexed="8"/>
        <rFont val="Arial"/>
        <family val="2"/>
      </rPr>
      <t>Dimensions = 1400x1000mm</t>
    </r>
  </si>
  <si>
    <t>GC 04 - R+2: Dégagement, salle d'attente 02</t>
  </si>
  <si>
    <r>
      <t xml:space="preserve">Fourniture et pose garde-corps en verre sans main courante
- Support sabot en aluminium
- Boulon de fixation
- Vitrage feuilleté 8.8.2
Y compris tous les accessoires de pose et sujétions de mise en oeuvre
</t>
    </r>
    <r>
      <rPr>
        <b/>
        <i/>
        <sz val="9"/>
        <color theme="1"/>
        <rFont val="Arial"/>
        <family val="2"/>
      </rPr>
      <t>Dimensions = 3840x1000mm</t>
    </r>
  </si>
  <si>
    <t>GC 05 - R+2: Dégagement, salle d'attente 02</t>
  </si>
  <si>
    <r>
      <t xml:space="preserve">Fourniture et pose garde-corps en verre sans main courante
- Support sabot en aluminium
- Boulon de fixation
- Vitrage feuilleté 8.8.2
Y compris tous les accessoires de pose et sujétions de mise en oeuvre
</t>
    </r>
    <r>
      <rPr>
        <b/>
        <i/>
        <sz val="9"/>
        <color theme="1"/>
        <rFont val="Arial"/>
        <family val="2"/>
      </rPr>
      <t>Dimensions = 2330x1000mm</t>
    </r>
  </si>
  <si>
    <t>GC 06 - R+3: Palier</t>
  </si>
  <si>
    <r>
      <t xml:space="preserve">Fourniture et pose garde-corps escalier en verre sans main courante
- Support en aluminium
- Boulon de fixation
- Vitrage feuilleté 8.8.2
Y compris tous les accessoires de pose et sujétions de mise en oeuvre
</t>
    </r>
    <r>
      <rPr>
        <b/>
        <i/>
        <sz val="9"/>
        <color theme="1"/>
        <rFont val="Arial"/>
        <family val="2"/>
      </rPr>
      <t>Dimensions = 5520x900mm</t>
    </r>
  </si>
  <si>
    <t>GC 07 - Escalier RDC vers R+1</t>
  </si>
  <si>
    <r>
      <t xml:space="preserve">Fourniture et pose garde-corps escalier en verre 
- Support en aluminium
- Boulon de fixation
- Vitrage feuilleté 8.8.2
Y compris tous les accessoires de pose et sujétions de mise en oeuvre
</t>
    </r>
    <r>
      <rPr>
        <b/>
        <i/>
        <sz val="9"/>
        <color theme="1"/>
        <rFont val="Arial"/>
        <family val="2"/>
      </rPr>
      <t>Dimensions = 6170x900mm</t>
    </r>
  </si>
  <si>
    <t>GC 08 - Escalier R+1 vers R+2</t>
  </si>
  <si>
    <r>
      <t xml:space="preserve">Fourniture et pose garde-corps escalier en verre 
- Support en aluminium
- Boulon de fixation
- Vitrage feuilleté 8.8.2
Y compris tous les accessoires de pose et sujétions de mise en oeuvre
</t>
    </r>
    <r>
      <rPr>
        <b/>
        <i/>
        <sz val="9"/>
        <color theme="1"/>
        <rFont val="Arial"/>
        <family val="2"/>
      </rPr>
      <t>Dimensions = 4030x900mm</t>
    </r>
  </si>
  <si>
    <t>GC 09 - Escalier R+2 vers R+3</t>
  </si>
  <si>
    <r>
      <t xml:space="preserve">Fourniture et pose garde-corps en verre sans main courante
- Support sabot en aluminium
- Boulon de fixation
- Vitrage feuilleté 8.8.2
Y compris tous les accessoires de pose et sujétions de mise en oeuvre
</t>
    </r>
    <r>
      <rPr>
        <b/>
        <i/>
        <sz val="9"/>
        <color theme="1"/>
        <rFont val="Arial"/>
        <family val="2"/>
      </rPr>
      <t>Dimensions = 3800x1000mm</t>
    </r>
  </si>
  <si>
    <t>GC 10 - R+1: Dégagement, salle de réunion 01
R+2: salle de réunion02,sejour</t>
  </si>
  <si>
    <r>
      <t xml:space="preserve">Fourniture et pose main courante tube en aluminium
Y compris tous les accessoires de pose et sujétions de mise en oeuvre
</t>
    </r>
    <r>
      <rPr>
        <b/>
        <i/>
        <sz val="9"/>
        <color theme="1"/>
        <rFont val="Arial"/>
        <family val="2"/>
      </rPr>
      <t>Dimensions = 24ml</t>
    </r>
  </si>
  <si>
    <t>MC - R+1, R+2, R+3</t>
  </si>
  <si>
    <t>Forniture et pose peau de façade en aluminium, y compris tous les accessoires de pose et toutes sujetion de mise en œuvre</t>
  </si>
  <si>
    <t>Façade principale</t>
  </si>
  <si>
    <t>ASCENSEUR</t>
  </si>
  <si>
    <t>XVIII</t>
  </si>
  <si>
    <t>18.1</t>
  </si>
  <si>
    <t xml:space="preserve">Plinthe intérieures </t>
  </si>
  <si>
    <t xml:space="preserve">Revêtement sol intérieures </t>
  </si>
  <si>
    <t>Revetement mural</t>
  </si>
  <si>
    <t>Fourniture et pose dalle sur plot, y compris tous les accessoires de pose  et toutes sujétions de mise en œuvre 
NB : échantillon à valider par MOE &amp; MOA avant la pose.</t>
  </si>
  <si>
    <t>Revêtement sol R+3 terrasse 04</t>
  </si>
  <si>
    <t>Faux plafond pièces humides</t>
  </si>
  <si>
    <t>Aménagement des jardins en espace verts avec 
- Pelouse
- Plantations
 y compris toutes sujétions</t>
  </si>
  <si>
    <t>Jardin-pelouse</t>
  </si>
  <si>
    <t>Revetement cours</t>
  </si>
  <si>
    <t>Mise en oeuvre cloture en maçonnerie de paraping avec : 
- Fouilles
- Ouvrage en béton ordinaire et armé
- Maconnerie
- Enduit de ciment
- Chaperon
- Y compris toutes sujetions de mise en œuvre</t>
  </si>
  <si>
    <t>Fourniture et pose autobloquant avec lit de sable, y compris toutes sujetions de pose et de mise en œuvre</t>
  </si>
  <si>
    <t>Interrupteur W A</t>
  </si>
  <si>
    <t>Interrupteur SA etanche</t>
  </si>
  <si>
    <t>Fourniture et pose onduleur, y compris tous les accéssoires et  toutes sujétions de pose et de mise en œuvre Cf plan</t>
  </si>
  <si>
    <t>Fourniture et pose mur rideau en aluminium
Vitrage antelio</t>
  </si>
  <si>
    <t>TVA 20%</t>
  </si>
  <si>
    <t>MONTANT TTC</t>
  </si>
  <si>
    <r>
      <t xml:space="preserve">Fourniture et pose bloc porte en bois dur avec tièrce vitrée fixe
- Porte ouvrante (900x2100mm), fixe (900x400mm)
- Tièrce vitrée (300x2500mm)
- Serrure à 1 point
- Pose poignée et rosace
- Paumelle inox
-  Chambranle 2 faces en bois
- Butée de porte 
Y compris toutes sujétions de mise en œuvre
</t>
    </r>
    <r>
      <rPr>
        <b/>
        <i/>
        <sz val="9"/>
        <color theme="1"/>
        <rFont val="Arial"/>
        <family val="2"/>
      </rPr>
      <t>Dimensions hors tous = 1200x2500mm</t>
    </r>
  </si>
  <si>
    <r>
      <t xml:space="preserve">Fourniture et pose bloc porte en bois dur ouvrant à la française:
- Ouvrante (900x2100mm), Fixe (900x400mm)
- Serrure 01 point avec cylindre, Jeu de 3 clés non duplicable
- Pose poignée et rosace
- Paumelle inox ou en aluminium 
- Chambranles 2 faces en bois
- Butée de porte 
- Peinture lasure
- Support métallique en tube 50x30x3mm
Y compris toutes sujétions de mise en œuvre
</t>
    </r>
    <r>
      <rPr>
        <b/>
        <i/>
        <sz val="9"/>
        <color theme="1"/>
        <rFont val="Arial"/>
        <family val="2"/>
      </rPr>
      <t xml:space="preserve"> Dimensions hors tous = 900x2500mm</t>
    </r>
  </si>
  <si>
    <r>
      <t xml:space="preserve">Fourniture et pose bloc porte en bois dur ouvrant à la française:
- Ouvrante (900x2100mm), imposte fixe (900x400mm)
- Serrure 03 points avec cylindre, Jeu de 3 clés non duplicable
- Pose poignée et rosace
- Paumelle inox ou en aluminium 
- Chambranles 2 faces en bois
- Butée de porte 
- Peinture lasure
- Support métallique en tube 50x30x3mm
Y compris toutes sujétions de mise en œuvre
</t>
    </r>
    <r>
      <rPr>
        <b/>
        <i/>
        <sz val="9"/>
        <color theme="1"/>
        <rFont val="Arial"/>
        <family val="2"/>
      </rPr>
      <t xml:space="preserve"> Dimensions hors tous = 900x2500mm</t>
    </r>
  </si>
  <si>
    <t>PRIX/M2 en Ariary</t>
  </si>
  <si>
    <t>SURFACE//M2</t>
  </si>
  <si>
    <t>SHOB</t>
  </si>
  <si>
    <t>SHON</t>
  </si>
  <si>
    <t>SHAB</t>
  </si>
  <si>
    <t>MONTANT (En Euro)</t>
  </si>
  <si>
    <t xml:space="preserve">                                          NOUVELLE CONSTRUCTION D'UN 
                                          IMMEUBLE R+3 SISE A TAMATAVE</t>
  </si>
  <si>
    <t>Fourniture et pose foyer à gaz, y compris tous les accessoires de pose et toutes sujétions de mise en œuvre. (Cf plan)</t>
  </si>
  <si>
    <t>Fourniture et pose four electrique, y compris tous les accessoires de pose et toutes sujétions de mise en œuvre. (Cf plan)</t>
  </si>
  <si>
    <t>Fourniture et pose frigo, y compris tous les accessoires de pose et toutes sujétions de mise en œuvre. (Cf plan)</t>
  </si>
  <si>
    <t>14.21</t>
  </si>
  <si>
    <t>14.22</t>
  </si>
  <si>
    <t>14.23</t>
  </si>
  <si>
    <t>14.24</t>
  </si>
  <si>
    <t>14.25</t>
  </si>
  <si>
    <r>
      <t xml:space="preserve">Fourniture et pose habillage en bois (chez tropical wood) avec :
- Peinture final (Vernis)
-   y compris tous les accessoires de pose, fixations et toutes sujétions de mise en œuvre
</t>
    </r>
    <r>
      <rPr>
        <b/>
        <i/>
        <sz val="9"/>
        <color theme="1"/>
        <rFont val="Arial"/>
        <family val="2"/>
      </rPr>
      <t>Dimensions : 2 590 x 2 900mm</t>
    </r>
  </si>
  <si>
    <r>
      <t xml:space="preserve">Fourniture et pose habillage en bois (chez tropical wood) avec :
- Peinture final (Vernis)
-   y compris tous les accessoires de pose, fixations et toutes sujétions de mise en œuvre
</t>
    </r>
    <r>
      <rPr>
        <b/>
        <i/>
        <sz val="9"/>
        <color theme="1"/>
        <rFont val="Arial"/>
        <family val="2"/>
      </rPr>
      <t>Dimensions : 2 520 x 2 800mm</t>
    </r>
  </si>
  <si>
    <r>
      <t xml:space="preserve">Fourniture et pose habillage en bois (chez tropical wood) avec :
- Peinture final (Vernis)
-   y compris tous les accessoires de pose, fixations et toutes sujétions de mise en œuvre
</t>
    </r>
    <r>
      <rPr>
        <b/>
        <i/>
        <sz val="9"/>
        <color theme="1"/>
        <rFont val="Arial"/>
        <family val="2"/>
      </rPr>
      <t>Dimensions : 1 030 x 2 600mm</t>
    </r>
  </si>
  <si>
    <r>
      <t xml:space="preserve">Fourniture et pose habillage en bois (chez tropical wood) avec :
- Peinture final (Vernis)
-   y compris tous les accessoires de pose, fixations et toutes sujétions de mise en œuvre
</t>
    </r>
    <r>
      <rPr>
        <b/>
        <i/>
        <sz val="9"/>
        <color theme="1"/>
        <rFont val="Arial"/>
        <family val="2"/>
      </rPr>
      <t>Dimensions : 2 000 x 1 930mm</t>
    </r>
  </si>
  <si>
    <r>
      <t xml:space="preserve">Fourniture et pose habillage en bois (chez tropical wood) avec :
- Peinture final (Vernis)
-   y compris tous les accessoires de pose, fixations et toutes sujétions de mise en œuvre
</t>
    </r>
    <r>
      <rPr>
        <b/>
        <i/>
        <sz val="9"/>
        <color theme="1"/>
        <rFont val="Arial"/>
        <family val="2"/>
      </rPr>
      <t>Dimensions : 3 100 x 2 900mm</t>
    </r>
  </si>
  <si>
    <r>
      <t xml:space="preserve">Fourniture et pose habillage en bois (chez tropical wood) avec :
- Peinture final (Vernis)
-   y compris tous les accessoires de pose, fixations et toutes sujétions de mise en œuvre
</t>
    </r>
    <r>
      <rPr>
        <b/>
        <i/>
        <sz val="9"/>
        <color theme="1"/>
        <rFont val="Arial"/>
        <family val="2"/>
      </rPr>
      <t>Dimensions : 3 100 x 2 800mm</t>
    </r>
  </si>
  <si>
    <t>PRIX/M2 en Euro</t>
  </si>
  <si>
    <r>
      <t xml:space="preserve">Fourniture et pose faux plafond  en bois, y compris tous les accessoires de pose et toutes sujétions de mise en œuvre (cf. plan)
</t>
    </r>
    <r>
      <rPr>
        <b/>
        <i/>
        <sz val="9"/>
        <color theme="1"/>
        <rFont val="Arial"/>
        <family val="2"/>
      </rPr>
      <t>Dimensions 1 300x4 470mm</t>
    </r>
  </si>
  <si>
    <t>9.11</t>
  </si>
  <si>
    <t>9.12</t>
  </si>
  <si>
    <r>
      <t xml:space="preserve">Fourniture et pose Faux plafond en bois (chez tropical wood) avec :
- Peinture final (Vernis)
-   y compris tous les accessoires de pose, fixations et toutes sujétions de mise en œuvre
</t>
    </r>
    <r>
      <rPr>
        <b/>
        <i/>
        <sz val="9"/>
        <color theme="1"/>
        <rFont val="Arial"/>
        <family val="2"/>
      </rPr>
      <t>Dimensions : 1 300 x 4 470mm</t>
    </r>
  </si>
  <si>
    <r>
      <t xml:space="preserve">Fourniture et pose Faux plafond en bois (chez tropical wood) avec :
- Peinture final (Vernis)
-   y compris tous les accessoires de pose, fixations et toutes sujétions de mise en œuvre
</t>
    </r>
    <r>
      <rPr>
        <b/>
        <i/>
        <sz val="9"/>
        <color theme="1"/>
        <rFont val="Arial"/>
        <family val="2"/>
      </rPr>
      <t>Dimensions : 2 840 x 3 170mm</t>
    </r>
  </si>
  <si>
    <t>11.4</t>
  </si>
  <si>
    <t>11.5</t>
  </si>
  <si>
    <t>11.6</t>
  </si>
  <si>
    <t>11.7</t>
  </si>
  <si>
    <t>11.8</t>
  </si>
  <si>
    <t>9.13</t>
  </si>
  <si>
    <t>9.14</t>
  </si>
  <si>
    <t>9.15</t>
  </si>
  <si>
    <r>
      <t xml:space="preserve">Fourniture et pose faux plafond  en bois (chez Tropical Wood), y compris tous les accessoires de pose et toutes sujétions de mise en œuvre (cf. plan)
</t>
    </r>
    <r>
      <rPr>
        <b/>
        <i/>
        <sz val="9"/>
        <color theme="1"/>
        <rFont val="Arial"/>
        <family val="2"/>
      </rPr>
      <t>Dimensions 1 300x4 470mm</t>
    </r>
  </si>
  <si>
    <r>
      <t xml:space="preserve">Fourniture et pose faux plafond  en bois (chez Tropical Wood), y compris tous les accessoires de pose et toutes sujétions de mise en œuvre (cf. plan)
</t>
    </r>
    <r>
      <rPr>
        <b/>
        <i/>
        <sz val="9"/>
        <color theme="1"/>
        <rFont val="Arial"/>
        <family val="2"/>
      </rPr>
      <t>Dimensions 2 840x3 170mm</t>
    </r>
  </si>
  <si>
    <r>
      <t xml:space="preserve">Fourniture et pose faux plafond  en bois (chez Tropical Wood), y compris tous les accessoires de pose et toutes sujétions de mise en œuvre (cf. plan)
</t>
    </r>
    <r>
      <rPr>
        <b/>
        <i/>
        <sz val="9"/>
        <color theme="1"/>
        <rFont val="Arial"/>
        <family val="2"/>
      </rPr>
      <t>Dimensions 3 100x7 740mm</t>
    </r>
  </si>
  <si>
    <t xml:space="preserve">Fourniture et pose ascenseur vitré de 4 pers - 4 stops - 320kg, y tous les accessoires de pose et de mise en oeuvre </t>
  </si>
  <si>
    <t>MONTANT en Ariary</t>
  </si>
  <si>
    <t>MONTANT en Euro</t>
  </si>
  <si>
    <t>MONTANT TOTAL</t>
  </si>
  <si>
    <t>RATIO EN EURO</t>
  </si>
  <si>
    <t>SHOB/M2 (en Ariary)</t>
  </si>
  <si>
    <t>SHON/M2 (en Ariary)</t>
  </si>
  <si>
    <t>SHAB/M2 (en Ariary)</t>
  </si>
  <si>
    <t>SHOB /M2(en Ariary)</t>
  </si>
  <si>
    <r>
      <rPr>
        <b/>
        <sz val="9"/>
        <color theme="1"/>
        <rFont val="Arial"/>
        <family val="2"/>
      </rPr>
      <t xml:space="preserve">NB : </t>
    </r>
    <r>
      <rPr>
        <sz val="9"/>
        <color theme="1"/>
        <rFont val="Arial"/>
        <family val="2"/>
      </rPr>
      <t xml:space="preserve">
Taux : 1 Euro = 4 700 Ariary</t>
    </r>
  </si>
  <si>
    <t>RATIO EN ARIARY</t>
  </si>
  <si>
    <r>
      <t xml:space="preserve">Fourniture et pose de carreau de faience mural 30x60cm hauteur 2,50m, posé sur ciment colle, y compris tous les accessoires de pose et toutes sujétions de mise en œuvre. 
</t>
    </r>
    <r>
      <rPr>
        <b/>
        <i/>
        <sz val="9"/>
        <color theme="1"/>
        <rFont val="Arial"/>
        <family val="2"/>
      </rPr>
      <t>NB :</t>
    </r>
    <r>
      <rPr>
        <i/>
        <sz val="9"/>
        <color theme="1"/>
        <rFont val="Arial"/>
        <family val="2"/>
      </rPr>
      <t xml:space="preserve"> échantillon à valider par MOE &amp; MOA avant la pose.</t>
    </r>
    <r>
      <rPr>
        <b/>
        <i/>
        <sz val="9"/>
        <color theme="1"/>
        <rFont val="Arial"/>
        <family val="2"/>
      </rPr>
      <t xml:space="preserve">
</t>
    </r>
  </si>
  <si>
    <r>
      <t xml:space="preserve">Fourniture et pose de carreaux en grès cérame, de dimensions 60x60cm, épaisseur 8mm, posé sur ciment colle avec des joints gris anthracite de largeur 4mm, y compris toutes les accessoires de pose  et toutes sujétions de mise en œuvre 
</t>
    </r>
    <r>
      <rPr>
        <b/>
        <i/>
        <sz val="9"/>
        <rFont val="Arial"/>
        <family val="2"/>
      </rPr>
      <t>NB :</t>
    </r>
    <r>
      <rPr>
        <i/>
        <sz val="9"/>
        <rFont val="Arial"/>
        <family val="2"/>
      </rPr>
      <t xml:space="preserve"> échantillon à valider par MOE &amp; MOA avant la pose.</t>
    </r>
  </si>
  <si>
    <r>
      <t xml:space="preserve">Fourniture et pose de plinthe en carreau grès cérame,  de dimensions 60x7 ou 7,5cm, épaisseur 8mm, posé sur ciment colle, y compris toutes les accessoires de pose  et toutes sujétions de mise en œuvre (cf. plan)
</t>
    </r>
    <r>
      <rPr>
        <b/>
        <i/>
        <sz val="9"/>
        <rFont val="Arial"/>
        <family val="2"/>
      </rPr>
      <t>NB :</t>
    </r>
    <r>
      <rPr>
        <i/>
        <sz val="9"/>
        <rFont val="Arial"/>
        <family val="2"/>
      </rPr>
      <t xml:space="preserve"> échantillon à valider par MOE &amp; MOA avant la pose.</t>
    </r>
  </si>
  <si>
    <t>EQUIPEMENT ET MEUBLE DE CUISINE</t>
  </si>
  <si>
    <t xml:space="preserve">OUVRAGE BOIS </t>
  </si>
  <si>
    <t>PEAU DE FACADE</t>
  </si>
  <si>
    <t>ENERGIE SOLAIRE</t>
  </si>
  <si>
    <t>XIX</t>
  </si>
  <si>
    <t>XX</t>
  </si>
  <si>
    <t>SECOND ŒUVRE (avec : equipement, ascenseur, peau de façade et energie solaire)</t>
  </si>
  <si>
    <t>10.1</t>
  </si>
  <si>
    <t>10.2</t>
  </si>
  <si>
    <t>10.3</t>
  </si>
  <si>
    <t>10.4</t>
  </si>
  <si>
    <t>10.5</t>
  </si>
  <si>
    <t>10.6</t>
  </si>
  <si>
    <t>10.7</t>
  </si>
  <si>
    <t>11.9</t>
  </si>
  <si>
    <t>11.10</t>
  </si>
  <si>
    <t>11.11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</si>
  <si>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</si>
  <si>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</si>
  <si>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</si>
  <si>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</si>
  <si>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</si>
  <si>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</si>
  <si>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</si>
  <si>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</si>
  <si>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</si>
  <si>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</si>
  <si>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</si>
  <si>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</si>
  <si>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</si>
  <si>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</si>
  <si>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</si>
  <si>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</si>
  <si>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</si>
  <si>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</si>
  <si>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</si>
  <si>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</si>
  <si>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12.32</t>
  </si>
  <si>
    <t>12.33</t>
  </si>
  <si>
    <t>12.34</t>
  </si>
  <si>
    <t>12.35</t>
  </si>
  <si>
    <t>12.36</t>
  </si>
  <si>
    <t>12.37</t>
  </si>
  <si>
    <t>12.38</t>
  </si>
  <si>
    <t>12.39</t>
  </si>
  <si>
    <t>12.40</t>
  </si>
  <si>
    <t>12.41</t>
  </si>
  <si>
    <t>12.42</t>
  </si>
  <si>
    <t>12.43</t>
  </si>
  <si>
    <t>12.44</t>
  </si>
  <si>
    <t>12.45</t>
  </si>
  <si>
    <t>12.46</t>
  </si>
  <si>
    <t>12.47</t>
  </si>
  <si>
    <t>14.26</t>
  </si>
  <si>
    <t>14.27</t>
  </si>
  <si>
    <t>14.28</t>
  </si>
  <si>
    <t>14.29</t>
  </si>
  <si>
    <t>16.2</t>
  </si>
  <si>
    <t>16.3</t>
  </si>
  <si>
    <t>17.2</t>
  </si>
  <si>
    <t>17.3</t>
  </si>
  <si>
    <t>17.4</t>
  </si>
  <si>
    <t>17.5</t>
  </si>
  <si>
    <t>17.6</t>
  </si>
  <si>
    <t>19.1</t>
  </si>
  <si>
    <t>20.1</t>
  </si>
  <si>
    <t>RECAP RATIO : en Ariary &amp; en Euro</t>
  </si>
  <si>
    <t>GROS ŒUVRE ( Avec demolition)</t>
  </si>
  <si>
    <t>SHOB /M2(en Euro)</t>
  </si>
  <si>
    <t>SHON/M2 (en Euro)</t>
  </si>
  <si>
    <t>SHAB/M2 (en Euro)</t>
  </si>
  <si>
    <t>DEVIS ESTIMATIF DES TRAVAUX TOUS CORPS D'ETAT
Novembre 2023</t>
  </si>
  <si>
    <t xml:space="preserve">TRAVAUX EN INFRASTRUCTURE </t>
  </si>
  <si>
    <t>Montant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</si>
</sst>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00_-;\-* #,##0.000_-;_-* &quot;-&quot;_-;_-@_-"/>
    <numFmt numFmtId="167" formatCode="_-* #,##0.00_-;\-* #,##0.00_-;_-* &quot;-&quot;_-;_-@_-"/>
    <numFmt numFmtId="168" formatCode="_-* #,##0.00\ _A_r_-;\-* #,##0.00\ _A_r_-;_-* &quot;-&quot;??\ _A_r_-;_-@_-"/>
    <numFmt numFmtId="169" formatCode="#,##0.00_ ;\-#,##0.00\ "/>
    <numFmt numFmtId="170" formatCode="_-* #,##0_-;\-* #,##0_-;_-* &quot;-&quot;??_-;_-@_-"/>
    <numFmt numFmtId="171" formatCode="_-* #,##0.000\ _€_-;\-* #,##0.000\ _€_-;_-* &quot;-&quot;??\ _€_-;_-@_-"/>
    <numFmt numFmtId="172" formatCode="_-* #,##0.0_-;\-* #,##0.0_-;_-* &quot;-&quot;??_-;_-@_-"/>
  </numFmts>
  <fonts count="8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i/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Arial"/>
      <family val="2"/>
    </font>
    <font>
      <b/>
      <sz val="9"/>
      <color theme="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i/>
      <sz val="9"/>
      <color rgb="FF000000"/>
      <name val="Arial"/>
      <family val="2"/>
    </font>
    <font>
      <i/>
      <sz val="9"/>
      <color indexed="8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i/>
      <sz val="10"/>
      <color rgb="FFFF0000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FF0000"/>
      <name val="Arial Narrow"/>
      <family val="2"/>
    </font>
    <font>
      <sz val="11"/>
      <color indexed="8"/>
      <name val="Calibri"/>
      <family val="2"/>
    </font>
    <font>
      <b/>
      <u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8"/>
      <name val="Arial Narrow"/>
      <family val="2"/>
    </font>
    <font>
      <sz val="10"/>
      <color rgb="FF000000"/>
      <name val="Arial Narrow"/>
      <family val="2"/>
    </font>
    <font>
      <sz val="11"/>
      <name val="Arial Narrow"/>
      <family val="2"/>
    </font>
    <font>
      <sz val="9"/>
      <color theme="1"/>
      <name val="Arial Narrow"/>
      <family val="2"/>
    </font>
    <font>
      <b/>
      <sz val="10"/>
      <color rgb="FF0000FF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FF0000"/>
      <name val="Arial Narrow"/>
      <family val="2"/>
    </font>
    <font>
      <b/>
      <sz val="10"/>
      <color rgb="FF000000"/>
      <name val="Arial Narrow"/>
      <family val="2"/>
    </font>
    <font>
      <sz val="8"/>
      <name val="Arial"/>
      <family val="2"/>
    </font>
    <font>
      <b/>
      <sz val="11"/>
      <color theme="1"/>
      <name val="Arial Narrow"/>
      <family val="2"/>
    </font>
    <font>
      <b/>
      <sz val="8"/>
      <name val="Arial Narrow"/>
      <family val="2"/>
    </font>
    <font>
      <b/>
      <sz val="12"/>
      <color theme="1"/>
      <name val="Arial"/>
      <family val="2"/>
    </font>
    <font>
      <b/>
      <sz val="11"/>
      <color rgb="FFFFFFFF"/>
      <name val="Arial Narrow"/>
      <family val="2"/>
    </font>
    <font>
      <sz val="11"/>
      <color rgb="FF000000"/>
      <name val="Calibri"/>
      <family val="2"/>
      <charset val="204"/>
    </font>
    <font>
      <sz val="9"/>
      <name val="Calibri"/>
      <family val="2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sz val="10"/>
      <color rgb="FFFF0000"/>
      <name val="Arial Narrow"/>
      <family val="2"/>
    </font>
    <font>
      <sz val="11"/>
      <color rgb="FFFF0000"/>
      <name val="Arial Narrow"/>
      <family val="2"/>
    </font>
    <font>
      <b/>
      <i/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indexed="8"/>
      <name val="Arial"/>
      <family val="2"/>
    </font>
    <font>
      <i/>
      <sz val="10.35"/>
      <name val="Arial"/>
      <family val="2"/>
    </font>
    <font>
      <i/>
      <sz val="10"/>
      <color indexed="8"/>
      <name val="Arial"/>
      <family val="2"/>
    </font>
    <font>
      <i/>
      <sz val="9"/>
      <name val="Helvetica"/>
      <family val="2"/>
    </font>
    <font>
      <b/>
      <i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1"/>
      <color indexed="8"/>
      <name val="Calibri"/>
      <family val="2"/>
    </font>
    <font>
      <i/>
      <sz val="10"/>
      <color theme="1"/>
      <name val="Arial"/>
      <family val="2"/>
    </font>
    <font>
      <b/>
      <i/>
      <sz val="9"/>
      <color theme="1"/>
      <name val="Arial"/>
      <family val="2"/>
    </font>
    <font>
      <b/>
      <u/>
      <sz val="12"/>
      <name val="Arial Narrow"/>
      <family val="2"/>
    </font>
    <font>
      <b/>
      <sz val="10"/>
      <color rgb="FFFF0000"/>
      <name val="Arial Narrow"/>
      <family val="2"/>
    </font>
    <font>
      <b/>
      <i/>
      <sz val="9"/>
      <color rgb="FFFF0000"/>
      <name val="Arial"/>
      <family val="2"/>
    </font>
    <font>
      <i/>
      <sz val="9"/>
      <color rgb="FFFF0000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indexed="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75">
    <xf numFmtId="0" fontId="0" fillId="0" borderId="0"/>
    <xf numFmtId="164" fontId="11" fillId="0" borderId="0" applyFont="0" applyFill="0" applyBorder="0" applyAlignment="0" applyProtection="0"/>
    <xf numFmtId="0" fontId="10" fillId="0" borderId="0"/>
    <xf numFmtId="0" fontId="11" fillId="0" borderId="0"/>
    <xf numFmtId="164" fontId="9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0" fillId="0" borderId="0"/>
    <xf numFmtId="0" fontId="11" fillId="0" borderId="0" applyFont="0" applyFill="0" applyBorder="0" applyAlignment="0" applyProtection="0"/>
    <xf numFmtId="0" fontId="7" fillId="0" borderId="0"/>
    <xf numFmtId="41" fontId="1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11" fillId="0" borderId="0" applyFont="0" applyFill="0" applyBorder="0" applyAlignment="0" applyProtection="0"/>
    <xf numFmtId="0" fontId="53" fillId="0" borderId="0"/>
    <xf numFmtId="3" fontId="5" fillId="5" borderId="14">
      <alignment horizontal="right" vertical="center" wrapText="1" indent="1"/>
    </xf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41" fontId="11" fillId="0" borderId="0" applyFont="0" applyFill="0" applyBorder="0" applyAlignment="0" applyProtection="0"/>
    <xf numFmtId="3" fontId="3" fillId="5" borderId="14">
      <alignment horizontal="right" vertical="center" wrapText="1" indent="1"/>
    </xf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1" fontId="11" fillId="0" borderId="0" applyFont="0" applyFill="0" applyBorder="0" applyAlignment="0" applyProtection="0"/>
    <xf numFmtId="3" fontId="2" fillId="5" borderId="14">
      <alignment horizontal="right" vertical="center" wrapText="1" indent="1"/>
    </xf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1" fontId="11" fillId="0" borderId="0" applyFont="0" applyFill="0" applyBorder="0" applyAlignment="0" applyProtection="0"/>
    <xf numFmtId="3" fontId="2" fillId="5" borderId="14">
      <alignment horizontal="right" vertical="center" wrapText="1" indent="1"/>
    </xf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1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41" fontId="11" fillId="0" borderId="0" applyFont="0" applyFill="0" applyBorder="0" applyAlignment="0" applyProtection="0"/>
    <xf numFmtId="3" fontId="1" fillId="5" borderId="14">
      <alignment horizontal="right" vertical="center" wrapText="1" indent="1"/>
    </xf>
  </cellStyleXfs>
  <cellXfs count="379">
    <xf numFmtId="0" fontId="0" fillId="0" borderId="0" xfId="0"/>
    <xf numFmtId="0" fontId="12" fillId="0" borderId="0" xfId="2" applyFont="1" applyAlignment="1">
      <alignment vertical="top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3" fillId="0" borderId="0" xfId="2" applyFont="1" applyAlignment="1">
      <alignment vertical="top" wrapText="1"/>
    </xf>
    <xf numFmtId="0" fontId="13" fillId="0" borderId="0" xfId="2" applyFont="1" applyAlignment="1">
      <alignment horizontal="center" vertical="top" wrapText="1"/>
    </xf>
    <xf numFmtId="164" fontId="16" fillId="0" borderId="0" xfId="0" applyNumberFormat="1" applyFont="1" applyAlignment="1">
      <alignment vertical="center"/>
    </xf>
    <xf numFmtId="164" fontId="14" fillId="0" borderId="0" xfId="4" applyFont="1" applyFill="1" applyBorder="1" applyAlignment="1">
      <alignment horizontal="center" vertical="center" wrapText="1"/>
    </xf>
    <xf numFmtId="0" fontId="14" fillId="0" borderId="0" xfId="4" applyNumberFormat="1" applyFont="1" applyFill="1" applyBorder="1" applyAlignment="1">
      <alignment vertical="center" wrapText="1"/>
    </xf>
    <xf numFmtId="0" fontId="15" fillId="0" borderId="0" xfId="4" applyNumberFormat="1" applyFont="1" applyFill="1" applyBorder="1" applyAlignment="1">
      <alignment vertical="top" wrapText="1"/>
    </xf>
    <xf numFmtId="0" fontId="20" fillId="0" borderId="0" xfId="4" applyNumberFormat="1" applyFont="1" applyFill="1" applyBorder="1" applyAlignment="1">
      <alignment vertical="top" wrapText="1"/>
    </xf>
    <xf numFmtId="0" fontId="20" fillId="0" borderId="0" xfId="2" applyFont="1" applyAlignment="1">
      <alignment vertical="top" wrapText="1"/>
    </xf>
    <xf numFmtId="164" fontId="15" fillId="0" borderId="0" xfId="4" applyFont="1" applyFill="1" applyBorder="1" applyAlignment="1">
      <alignment horizontal="center" vertical="top" wrapText="1"/>
    </xf>
    <xf numFmtId="164" fontId="20" fillId="0" borderId="0" xfId="4" applyFont="1" applyFill="1" applyBorder="1" applyAlignment="1">
      <alignment horizontal="center" vertical="top" wrapText="1"/>
    </xf>
    <xf numFmtId="0" fontId="15" fillId="0" borderId="0" xfId="4" applyNumberFormat="1" applyFont="1" applyFill="1" applyBorder="1" applyAlignment="1">
      <alignment horizontal="left" vertical="top" wrapText="1"/>
    </xf>
    <xf numFmtId="164" fontId="20" fillId="0" borderId="0" xfId="4" applyFont="1" applyFill="1" applyBorder="1" applyAlignment="1">
      <alignment horizontal="center" vertical="center" wrapText="1"/>
    </xf>
    <xf numFmtId="164" fontId="15" fillId="0" borderId="0" xfId="4" applyFont="1" applyFill="1" applyBorder="1" applyAlignment="1">
      <alignment horizontal="center" vertical="center" wrapText="1"/>
    </xf>
    <xf numFmtId="164" fontId="24" fillId="0" borderId="0" xfId="1" applyFont="1" applyFill="1" applyBorder="1" applyAlignment="1">
      <alignment horizontal="center" vertical="top" wrapText="1"/>
    </xf>
    <xf numFmtId="164" fontId="15" fillId="0" borderId="0" xfId="0" applyNumberFormat="1" applyFont="1" applyAlignment="1">
      <alignment horizontal="center" vertical="top" wrapText="1"/>
    </xf>
    <xf numFmtId="164" fontId="15" fillId="0" borderId="0" xfId="0" applyNumberFormat="1" applyFont="1" applyAlignment="1">
      <alignment horizontal="right" vertical="top" wrapText="1"/>
    </xf>
    <xf numFmtId="164" fontId="18" fillId="0" borderId="0" xfId="4" applyFont="1" applyFill="1" applyBorder="1" applyAlignment="1">
      <alignment horizontal="center" vertical="center" wrapText="1"/>
    </xf>
    <xf numFmtId="164" fontId="13" fillId="0" borderId="0" xfId="1" applyFont="1" applyFill="1" applyBorder="1" applyAlignment="1">
      <alignment horizontal="center" vertical="center" wrapText="1"/>
    </xf>
    <xf numFmtId="164" fontId="15" fillId="0" borderId="0" xfId="1" applyFont="1" applyFill="1" applyBorder="1" applyAlignment="1">
      <alignment horizontal="center" vertical="center" wrapText="1"/>
    </xf>
    <xf numFmtId="164" fontId="24" fillId="0" borderId="0" xfId="0" applyNumberFormat="1" applyFont="1" applyAlignment="1">
      <alignment horizontal="center" vertical="center" wrapText="1"/>
    </xf>
    <xf numFmtId="164" fontId="12" fillId="0" borderId="0" xfId="2" applyNumberFormat="1" applyFont="1" applyAlignment="1">
      <alignment vertical="top" wrapText="1"/>
    </xf>
    <xf numFmtId="164" fontId="26" fillId="0" borderId="0" xfId="4" applyFont="1" applyFill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top" wrapText="1"/>
    </xf>
    <xf numFmtId="0" fontId="29" fillId="0" borderId="4" xfId="0" quotePrefix="1" applyFont="1" applyBorder="1" applyAlignment="1">
      <alignment horizontal="center" vertical="center" wrapText="1"/>
    </xf>
    <xf numFmtId="0" fontId="31" fillId="0" borderId="1" xfId="6" applyFont="1" applyBorder="1" applyAlignment="1">
      <alignment vertical="center" wrapText="1"/>
    </xf>
    <xf numFmtId="164" fontId="32" fillId="0" borderId="1" xfId="1" applyFont="1" applyBorder="1" applyAlignment="1">
      <alignment horizontal="center" vertical="center"/>
    </xf>
    <xf numFmtId="164" fontId="32" fillId="0" borderId="1" xfId="1" applyFont="1" applyFill="1" applyBorder="1" applyAlignment="1">
      <alignment horizontal="right"/>
    </xf>
    <xf numFmtId="164" fontId="35" fillId="0" borderId="5" xfId="1" applyFont="1" applyBorder="1" applyAlignment="1">
      <alignment wrapText="1"/>
    </xf>
    <xf numFmtId="0" fontId="35" fillId="0" borderId="0" xfId="0" applyFont="1" applyAlignment="1">
      <alignment wrapText="1"/>
    </xf>
    <xf numFmtId="49" fontId="36" fillId="0" borderId="4" xfId="0" applyNumberFormat="1" applyFont="1" applyBorder="1" applyAlignment="1" applyProtection="1">
      <alignment horizontal="center" vertical="center" wrapText="1"/>
      <protection locked="0"/>
    </xf>
    <xf numFmtId="0" fontId="37" fillId="0" borderId="1" xfId="0" applyFont="1" applyBorder="1" applyAlignment="1">
      <alignment vertical="center" wrapText="1"/>
    </xf>
    <xf numFmtId="164" fontId="32" fillId="0" borderId="1" xfId="1" applyFont="1" applyBorder="1" applyAlignment="1" applyProtection="1">
      <alignment horizontal="center"/>
      <protection locked="0"/>
    </xf>
    <xf numFmtId="164" fontId="32" fillId="0" borderId="1" xfId="1" applyFont="1" applyFill="1" applyBorder="1" applyAlignment="1" applyProtection="1">
      <alignment horizontal="center"/>
      <protection locked="0"/>
    </xf>
    <xf numFmtId="0" fontId="34" fillId="0" borderId="1" xfId="0" applyFont="1" applyBorder="1" applyAlignment="1">
      <alignment vertical="center" wrapText="1"/>
    </xf>
    <xf numFmtId="0" fontId="34" fillId="0" borderId="1" xfId="0" applyFont="1" applyBorder="1" applyAlignment="1">
      <alignment vertical="top" wrapText="1"/>
    </xf>
    <xf numFmtId="164" fontId="38" fillId="0" borderId="1" xfId="1" applyFont="1" applyBorder="1" applyAlignment="1">
      <alignment wrapText="1"/>
    </xf>
    <xf numFmtId="0" fontId="32" fillId="0" borderId="1" xfId="0" applyFont="1" applyBorder="1" applyAlignment="1">
      <alignment vertical="center" wrapText="1"/>
    </xf>
    <xf numFmtId="49" fontId="36" fillId="0" borderId="4" xfId="0" applyNumberFormat="1" applyFont="1" applyBorder="1" applyAlignment="1" applyProtection="1">
      <alignment horizontal="center" vertical="center"/>
      <protection locked="0"/>
    </xf>
    <xf numFmtId="0" fontId="32" fillId="0" borderId="1" xfId="5" applyNumberFormat="1" applyFont="1" applyFill="1" applyBorder="1" applyAlignment="1">
      <alignment vertical="top" wrapText="1"/>
    </xf>
    <xf numFmtId="0" fontId="37" fillId="0" borderId="1" xfId="0" applyFont="1" applyBorder="1" applyAlignment="1">
      <alignment vertical="top" wrapText="1"/>
    </xf>
    <xf numFmtId="0" fontId="35" fillId="0" borderId="0" xfId="0" applyFont="1" applyAlignment="1">
      <alignment vertical="center" wrapText="1"/>
    </xf>
    <xf numFmtId="49" fontId="32" fillId="0" borderId="4" xfId="0" applyNumberFormat="1" applyFont="1" applyBorder="1" applyAlignment="1" applyProtection="1">
      <alignment horizontal="center"/>
      <protection locked="0"/>
    </xf>
    <xf numFmtId="0" fontId="39" fillId="0" borderId="6" xfId="0" applyFont="1" applyBorder="1" applyAlignment="1">
      <alignment horizontal="center" vertical="top" wrapText="1"/>
    </xf>
    <xf numFmtId="0" fontId="40" fillId="0" borderId="7" xfId="0" applyFont="1" applyBorder="1" applyAlignment="1">
      <alignment vertical="center"/>
    </xf>
    <xf numFmtId="164" fontId="35" fillId="0" borderId="8" xfId="1" applyFont="1" applyBorder="1" applyAlignment="1">
      <alignment wrapText="1"/>
    </xf>
    <xf numFmtId="0" fontId="33" fillId="0" borderId="0" xfId="0" quotePrefix="1" applyFont="1" applyAlignment="1" applyProtection="1">
      <alignment horizontal="center" wrapText="1"/>
      <protection locked="0"/>
    </xf>
    <xf numFmtId="0" fontId="33" fillId="0" borderId="0" xfId="0" applyFont="1" applyAlignment="1" applyProtection="1">
      <alignment horizontal="left" wrapText="1"/>
      <protection locked="0"/>
    </xf>
    <xf numFmtId="164" fontId="33" fillId="0" borderId="0" xfId="1" applyFont="1" applyAlignment="1" applyProtection="1">
      <alignment horizontal="center" wrapText="1"/>
      <protection locked="0"/>
    </xf>
    <xf numFmtId="164" fontId="33" fillId="0" borderId="0" xfId="1" applyFont="1" applyAlignment="1" applyProtection="1">
      <alignment horizontal="center"/>
      <protection locked="0"/>
    </xf>
    <xf numFmtId="164" fontId="41" fillId="0" borderId="0" xfId="1" applyFont="1" applyAlignment="1" applyProtection="1">
      <alignment horizontal="right" wrapText="1"/>
      <protection locked="0"/>
    </xf>
    <xf numFmtId="164" fontId="35" fillId="0" borderId="0" xfId="1" applyFont="1" applyAlignment="1">
      <alignment wrapText="1"/>
    </xf>
    <xf numFmtId="164" fontId="44" fillId="3" borderId="1" xfId="1" applyFont="1" applyFill="1" applyBorder="1" applyAlignment="1">
      <alignment horizontal="center" vertical="center" wrapText="1"/>
    </xf>
    <xf numFmtId="164" fontId="43" fillId="3" borderId="1" xfId="1" applyFont="1" applyFill="1" applyBorder="1" applyAlignment="1">
      <alignment horizontal="center" vertical="center" wrapText="1"/>
    </xf>
    <xf numFmtId="0" fontId="45" fillId="0" borderId="1" xfId="0" applyFont="1" applyBorder="1" applyAlignment="1">
      <alignment vertical="top" wrapText="1"/>
    </xf>
    <xf numFmtId="164" fontId="46" fillId="0" borderId="1" xfId="1" applyFont="1" applyBorder="1" applyAlignment="1">
      <alignment wrapText="1"/>
    </xf>
    <xf numFmtId="0" fontId="33" fillId="0" borderId="1" xfId="0" applyFont="1" applyBorder="1" applyAlignment="1">
      <alignment vertical="center" wrapText="1"/>
    </xf>
    <xf numFmtId="0" fontId="47" fillId="0" borderId="1" xfId="0" applyFont="1" applyBorder="1" applyAlignment="1">
      <alignment vertical="center" wrapText="1"/>
    </xf>
    <xf numFmtId="0" fontId="35" fillId="0" borderId="1" xfId="0" applyFont="1" applyBorder="1" applyAlignment="1">
      <alignment wrapText="1"/>
    </xf>
    <xf numFmtId="0" fontId="35" fillId="0" borderId="12" xfId="0" applyFont="1" applyBorder="1" applyAlignment="1">
      <alignment wrapText="1"/>
    </xf>
    <xf numFmtId="0" fontId="32" fillId="0" borderId="1" xfId="0" applyFont="1" applyBorder="1" applyAlignment="1">
      <alignment vertical="top" wrapText="1"/>
    </xf>
    <xf numFmtId="164" fontId="38" fillId="0" borderId="5" xfId="1" applyFont="1" applyBorder="1" applyAlignment="1">
      <alignment wrapText="1"/>
    </xf>
    <xf numFmtId="0" fontId="38" fillId="0" borderId="0" xfId="0" applyFont="1" applyAlignment="1">
      <alignment wrapText="1"/>
    </xf>
    <xf numFmtId="0" fontId="45" fillId="0" borderId="1" xfId="0" applyFont="1" applyBorder="1" applyAlignment="1">
      <alignment vertical="center" wrapText="1"/>
    </xf>
    <xf numFmtId="0" fontId="33" fillId="0" borderId="1" xfId="0" applyFont="1" applyBorder="1" applyAlignment="1">
      <alignment vertical="top" wrapText="1"/>
    </xf>
    <xf numFmtId="49" fontId="50" fillId="0" borderId="4" xfId="0" applyNumberFormat="1" applyFont="1" applyBorder="1" applyAlignment="1" applyProtection="1">
      <alignment horizontal="center" vertical="center" wrapText="1"/>
      <protection locked="0"/>
    </xf>
    <xf numFmtId="0" fontId="24" fillId="0" borderId="0" xfId="0" applyFont="1" applyAlignment="1">
      <alignment horizontal="left" vertical="top" wrapText="1"/>
    </xf>
    <xf numFmtId="0" fontId="19" fillId="2" borderId="0" xfId="3" applyFont="1" applyFill="1" applyAlignment="1">
      <alignment horizontal="center" vertical="center" wrapText="1"/>
    </xf>
    <xf numFmtId="164" fontId="19" fillId="2" borderId="0" xfId="1" applyFont="1" applyFill="1" applyBorder="1" applyAlignment="1">
      <alignment horizontal="center" vertical="center" wrapText="1"/>
    </xf>
    <xf numFmtId="165" fontId="19" fillId="2" borderId="0" xfId="1" applyNumberFormat="1" applyFont="1" applyFill="1" applyBorder="1" applyAlignment="1">
      <alignment horizontal="center" vertical="center" wrapText="1"/>
    </xf>
    <xf numFmtId="164" fontId="15" fillId="0" borderId="0" xfId="1" applyFont="1" applyFill="1" applyBorder="1" applyAlignment="1">
      <alignment vertical="top" wrapText="1"/>
    </xf>
    <xf numFmtId="164" fontId="52" fillId="4" borderId="2" xfId="1" applyFont="1" applyFill="1" applyBorder="1" applyAlignment="1">
      <alignment horizontal="center" vertical="center" wrapText="1"/>
    </xf>
    <xf numFmtId="164" fontId="52" fillId="4" borderId="13" xfId="1" applyFont="1" applyFill="1" applyBorder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4" fillId="0" borderId="0" xfId="2" applyFont="1" applyAlignment="1">
      <alignment vertical="center" wrapText="1"/>
    </xf>
    <xf numFmtId="0" fontId="14" fillId="0" borderId="0" xfId="4" applyNumberFormat="1" applyFont="1" applyFill="1" applyBorder="1" applyAlignment="1">
      <alignment horizontal="left" vertical="center" wrapText="1"/>
    </xf>
    <xf numFmtId="0" fontId="21" fillId="0" borderId="0" xfId="4" applyNumberFormat="1" applyFont="1" applyFill="1" applyBorder="1" applyAlignment="1">
      <alignment vertical="center" wrapText="1"/>
    </xf>
    <xf numFmtId="0" fontId="14" fillId="0" borderId="0" xfId="2" applyFont="1" applyAlignment="1">
      <alignment vertical="center" wrapText="1"/>
    </xf>
    <xf numFmtId="164" fontId="14" fillId="0" borderId="0" xfId="0" applyNumberFormat="1" applyFont="1" applyAlignment="1">
      <alignment horizontal="right" vertical="center" wrapText="1"/>
    </xf>
    <xf numFmtId="41" fontId="12" fillId="0" borderId="0" xfId="9" applyFont="1" applyAlignment="1">
      <alignment vertical="top" wrapText="1"/>
    </xf>
    <xf numFmtId="41" fontId="35" fillId="0" borderId="0" xfId="9" applyFont="1" applyAlignment="1">
      <alignment wrapText="1"/>
    </xf>
    <xf numFmtId="41" fontId="35" fillId="0" borderId="0" xfId="9" applyFont="1" applyAlignment="1">
      <alignment vertical="center" wrapText="1"/>
    </xf>
    <xf numFmtId="41" fontId="38" fillId="0" borderId="0" xfId="9" applyFont="1" applyAlignment="1">
      <alignment wrapText="1"/>
    </xf>
    <xf numFmtId="0" fontId="24" fillId="0" borderId="0" xfId="2" applyFont="1" applyAlignment="1">
      <alignment vertical="top" wrapText="1"/>
    </xf>
    <xf numFmtId="164" fontId="46" fillId="0" borderId="1" xfId="1" applyFont="1" applyFill="1" applyBorder="1" applyAlignment="1">
      <alignment wrapText="1"/>
    </xf>
    <xf numFmtId="0" fontId="55" fillId="0" borderId="0" xfId="2" applyFont="1" applyAlignment="1">
      <alignment vertical="top" wrapText="1"/>
    </xf>
    <xf numFmtId="0" fontId="46" fillId="0" borderId="1" xfId="0" applyFont="1" applyBorder="1" applyAlignment="1">
      <alignment wrapText="1"/>
    </xf>
    <xf numFmtId="164" fontId="46" fillId="0" borderId="7" xfId="1" applyFont="1" applyBorder="1" applyAlignment="1">
      <alignment wrapText="1"/>
    </xf>
    <xf numFmtId="164" fontId="46" fillId="0" borderId="0" xfId="1" applyFont="1" applyAlignment="1">
      <alignment wrapText="1"/>
    </xf>
    <xf numFmtId="165" fontId="25" fillId="0" borderId="0" xfId="1" applyNumberFormat="1" applyFont="1" applyFill="1" applyBorder="1" applyAlignment="1">
      <alignment vertical="top" wrapText="1"/>
    </xf>
    <xf numFmtId="0" fontId="56" fillId="0" borderId="0" xfId="2" applyFont="1" applyAlignment="1">
      <alignment horizontal="center" vertical="top" wrapText="1"/>
    </xf>
    <xf numFmtId="164" fontId="49" fillId="0" borderId="1" xfId="1" applyFont="1" applyBorder="1" applyAlignment="1">
      <alignment horizontal="center" wrapText="1"/>
    </xf>
    <xf numFmtId="164" fontId="46" fillId="0" borderId="1" xfId="1" applyFont="1" applyBorder="1" applyAlignment="1">
      <alignment horizontal="center" wrapText="1"/>
    </xf>
    <xf numFmtId="164" fontId="41" fillId="0" borderId="1" xfId="1" applyFont="1" applyBorder="1" applyAlignment="1">
      <alignment horizontal="center" wrapText="1"/>
    </xf>
    <xf numFmtId="0" fontId="46" fillId="0" borderId="1" xfId="0" applyFont="1" applyBorder="1" applyAlignment="1">
      <alignment horizontal="center" wrapText="1"/>
    </xf>
    <xf numFmtId="164" fontId="49" fillId="0" borderId="0" xfId="1" applyFont="1" applyAlignment="1">
      <alignment horizontal="center" wrapText="1"/>
    </xf>
    <xf numFmtId="165" fontId="56" fillId="0" borderId="0" xfId="1" applyNumberFormat="1" applyFont="1" applyFill="1" applyAlignment="1">
      <alignment horizontal="center" vertical="top" wrapText="1"/>
    </xf>
    <xf numFmtId="165" fontId="24" fillId="0" borderId="0" xfId="1" applyNumberFormat="1" applyFont="1" applyFill="1" applyBorder="1" applyAlignment="1">
      <alignment horizontal="center" vertical="top" wrapText="1"/>
    </xf>
    <xf numFmtId="164" fontId="14" fillId="0" borderId="0" xfId="1" applyFont="1" applyFill="1" applyBorder="1" applyAlignment="1">
      <alignment vertical="center" wrapText="1"/>
    </xf>
    <xf numFmtId="0" fontId="21" fillId="0" borderId="0" xfId="0" applyFont="1" applyAlignment="1">
      <alignment horizontal="center" vertical="top" wrapText="1"/>
    </xf>
    <xf numFmtId="0" fontId="57" fillId="0" borderId="0" xfId="2" applyFont="1" applyAlignment="1">
      <alignment vertical="top" wrapText="1"/>
    </xf>
    <xf numFmtId="164" fontId="38" fillId="0" borderId="1" xfId="1" applyFont="1" applyFill="1" applyBorder="1" applyAlignment="1">
      <alignment wrapText="1"/>
    </xf>
    <xf numFmtId="164" fontId="58" fillId="0" borderId="0" xfId="1" applyFont="1" applyFill="1" applyBorder="1" applyAlignment="1">
      <alignment vertical="top" wrapText="1"/>
    </xf>
    <xf numFmtId="0" fontId="58" fillId="0" borderId="0" xfId="2" applyFont="1" applyAlignment="1">
      <alignment vertical="top" wrapText="1"/>
    </xf>
    <xf numFmtId="164" fontId="32" fillId="0" borderId="7" xfId="1" applyFont="1" applyFill="1" applyBorder="1" applyAlignment="1">
      <alignment vertical="center"/>
    </xf>
    <xf numFmtId="164" fontId="33" fillId="0" borderId="7" xfId="1" applyFont="1" applyBorder="1" applyAlignment="1">
      <alignment horizontal="right" vertical="center" wrapText="1"/>
    </xf>
    <xf numFmtId="164" fontId="38" fillId="0" borderId="7" xfId="1" applyFont="1" applyBorder="1" applyAlignment="1">
      <alignment wrapText="1"/>
    </xf>
    <xf numFmtId="164" fontId="38" fillId="0" borderId="0" xfId="1" applyFont="1" applyAlignment="1"/>
    <xf numFmtId="164" fontId="38" fillId="0" borderId="0" xfId="1" applyFont="1" applyAlignment="1">
      <alignment wrapText="1"/>
    </xf>
    <xf numFmtId="164" fontId="38" fillId="0" borderId="0" xfId="1" applyFont="1" applyAlignment="1">
      <alignment horizontal="center" wrapText="1"/>
    </xf>
    <xf numFmtId="164" fontId="57" fillId="0" borderId="0" xfId="1" applyFont="1" applyFill="1" applyAlignment="1">
      <alignment vertical="top" wrapText="1"/>
    </xf>
    <xf numFmtId="165" fontId="58" fillId="0" borderId="0" xfId="1" applyNumberFormat="1" applyFont="1" applyFill="1" applyBorder="1" applyAlignment="1">
      <alignment vertical="top" wrapText="1"/>
    </xf>
    <xf numFmtId="165" fontId="57" fillId="0" borderId="0" xfId="1" applyNumberFormat="1" applyFont="1" applyFill="1" applyAlignment="1">
      <alignment vertical="top" wrapText="1"/>
    </xf>
    <xf numFmtId="165" fontId="57" fillId="0" borderId="0" xfId="2" applyNumberFormat="1" applyFont="1" applyAlignment="1">
      <alignment vertical="top" wrapText="1"/>
    </xf>
    <xf numFmtId="164" fontId="32" fillId="0" borderId="7" xfId="1" applyFont="1" applyFill="1" applyBorder="1" applyAlignment="1">
      <alignment horizontal="center" vertical="center"/>
    </xf>
    <xf numFmtId="164" fontId="58" fillId="0" borderId="0" xfId="1" applyFont="1" applyFill="1" applyBorder="1" applyAlignment="1">
      <alignment horizontal="center" vertical="top" wrapText="1"/>
    </xf>
    <xf numFmtId="165" fontId="58" fillId="0" borderId="0" xfId="1" applyNumberFormat="1" applyFont="1" applyFill="1" applyBorder="1" applyAlignment="1">
      <alignment horizontal="center" vertical="top" wrapText="1"/>
    </xf>
    <xf numFmtId="165" fontId="58" fillId="0" borderId="0" xfId="2" applyNumberFormat="1" applyFont="1" applyAlignment="1">
      <alignment horizontal="center" vertical="top" wrapText="1"/>
    </xf>
    <xf numFmtId="0" fontId="58" fillId="0" borderId="0" xfId="2" applyFont="1" applyAlignment="1">
      <alignment horizontal="center" vertical="top" wrapText="1"/>
    </xf>
    <xf numFmtId="12" fontId="35" fillId="0" borderId="0" xfId="9" applyNumberFormat="1" applyFont="1" applyAlignment="1">
      <alignment wrapText="1"/>
    </xf>
    <xf numFmtId="166" fontId="12" fillId="0" borderId="0" xfId="9" applyNumberFormat="1" applyFont="1" applyAlignment="1">
      <alignment vertical="top" wrapText="1"/>
    </xf>
    <xf numFmtId="166" fontId="35" fillId="0" borderId="0" xfId="9" applyNumberFormat="1" applyFont="1" applyAlignment="1">
      <alignment wrapText="1"/>
    </xf>
    <xf numFmtId="166" fontId="35" fillId="0" borderId="0" xfId="9" applyNumberFormat="1" applyFont="1" applyAlignment="1">
      <alignment vertical="center" wrapText="1"/>
    </xf>
    <xf numFmtId="166" fontId="38" fillId="0" borderId="0" xfId="9" applyNumberFormat="1" applyFont="1" applyAlignment="1">
      <alignment wrapText="1"/>
    </xf>
    <xf numFmtId="0" fontId="59" fillId="0" borderId="1" xfId="0" applyFont="1" applyBorder="1" applyAlignment="1">
      <alignment vertical="top" wrapText="1"/>
    </xf>
    <xf numFmtId="164" fontId="60" fillId="0" borderId="1" xfId="1" applyFont="1" applyBorder="1" applyAlignment="1">
      <alignment wrapText="1"/>
    </xf>
    <xf numFmtId="164" fontId="41" fillId="0" borderId="1" xfId="1" applyFont="1" applyBorder="1" applyAlignment="1">
      <alignment wrapText="1"/>
    </xf>
    <xf numFmtId="167" fontId="44" fillId="3" borderId="1" xfId="9" applyNumberFormat="1" applyFont="1" applyFill="1" applyBorder="1" applyAlignment="1">
      <alignment horizontal="center" vertical="center" wrapText="1"/>
    </xf>
    <xf numFmtId="167" fontId="32" fillId="0" borderId="1" xfId="9" applyNumberFormat="1" applyFont="1" applyFill="1" applyBorder="1" applyAlignment="1"/>
    <xf numFmtId="167" fontId="32" fillId="0" borderId="1" xfId="9" applyNumberFormat="1" applyFont="1" applyBorder="1" applyAlignment="1"/>
    <xf numFmtId="167" fontId="38" fillId="0" borderId="7" xfId="9" applyNumberFormat="1" applyFont="1" applyBorder="1" applyAlignment="1"/>
    <xf numFmtId="167" fontId="38" fillId="0" borderId="0" xfId="9" applyNumberFormat="1" applyFont="1" applyAlignment="1"/>
    <xf numFmtId="167" fontId="58" fillId="0" borderId="0" xfId="9" applyNumberFormat="1" applyFont="1" applyFill="1" applyBorder="1" applyAlignment="1">
      <alignment vertical="top" wrapText="1"/>
    </xf>
    <xf numFmtId="167" fontId="58" fillId="0" borderId="0" xfId="9" applyNumberFormat="1" applyFont="1" applyAlignment="1">
      <alignment vertical="top" wrapText="1"/>
    </xf>
    <xf numFmtId="164" fontId="38" fillId="0" borderId="0" xfId="1" applyFont="1" applyBorder="1" applyAlignment="1">
      <alignment wrapText="1"/>
    </xf>
    <xf numFmtId="0" fontId="46" fillId="0" borderId="0" xfId="2" applyFont="1" applyAlignment="1">
      <alignment vertical="top" wrapText="1"/>
    </xf>
    <xf numFmtId="0" fontId="46" fillId="0" borderId="0" xfId="2" applyFont="1" applyAlignment="1">
      <alignment horizontal="center" vertical="top" wrapText="1"/>
    </xf>
    <xf numFmtId="164" fontId="46" fillId="0" borderId="7" xfId="1" applyFont="1" applyBorder="1" applyAlignment="1">
      <alignment horizontal="center" wrapText="1"/>
    </xf>
    <xf numFmtId="164" fontId="61" fillId="0" borderId="0" xfId="1" applyFont="1" applyFill="1" applyBorder="1" applyAlignment="1">
      <alignment vertical="center" wrapText="1"/>
    </xf>
    <xf numFmtId="164" fontId="62" fillId="0" borderId="0" xfId="1" applyFont="1" applyFill="1" applyBorder="1" applyAlignment="1">
      <alignment horizontal="center" vertical="top" wrapText="1"/>
    </xf>
    <xf numFmtId="0" fontId="23" fillId="0" borderId="0" xfId="1" applyNumberFormat="1" applyFont="1" applyFill="1" applyBorder="1" applyAlignment="1">
      <alignment vertical="top" wrapText="1"/>
    </xf>
    <xf numFmtId="164" fontId="14" fillId="0" borderId="0" xfId="4" applyFont="1" applyFill="1" applyBorder="1" applyAlignment="1">
      <alignment horizontal="center" vertical="top" wrapText="1"/>
    </xf>
    <xf numFmtId="164" fontId="15" fillId="0" borderId="0" xfId="4" applyFont="1" applyFill="1" applyBorder="1" applyAlignment="1">
      <alignment vertical="top" wrapText="1"/>
    </xf>
    <xf numFmtId="0" fontId="14" fillId="0" borderId="0" xfId="0" applyFont="1" applyAlignment="1">
      <alignment horizontal="left" vertical="center" wrapText="1"/>
    </xf>
    <xf numFmtId="0" fontId="13" fillId="0" borderId="0" xfId="2" applyFont="1" applyAlignment="1">
      <alignment horizontal="left" vertical="center" wrapText="1"/>
    </xf>
    <xf numFmtId="164" fontId="15" fillId="0" borderId="0" xfId="4" applyFont="1" applyFill="1" applyBorder="1" applyAlignment="1">
      <alignment horizontal="left" vertical="center" wrapText="1"/>
    </xf>
    <xf numFmtId="164" fontId="13" fillId="0" borderId="0" xfId="1" applyFont="1" applyFill="1" applyBorder="1" applyAlignment="1">
      <alignment horizontal="left" vertical="center" wrapText="1"/>
    </xf>
    <xf numFmtId="0" fontId="14" fillId="0" borderId="0" xfId="1" applyNumberFormat="1" applyFont="1" applyFill="1" applyBorder="1" applyAlignment="1">
      <alignment vertical="center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63" fillId="0" borderId="0" xfId="1" applyNumberFormat="1" applyFont="1" applyFill="1" applyBorder="1" applyAlignment="1">
      <alignment vertical="top" wrapText="1"/>
    </xf>
    <xf numFmtId="168" fontId="35" fillId="0" borderId="1" xfId="0" applyNumberFormat="1" applyFont="1" applyBorder="1" applyAlignment="1">
      <alignment wrapText="1"/>
    </xf>
    <xf numFmtId="168" fontId="38" fillId="0" borderId="1" xfId="0" applyNumberFormat="1" applyFont="1" applyBorder="1" applyAlignment="1">
      <alignment wrapText="1"/>
    </xf>
    <xf numFmtId="164" fontId="46" fillId="6" borderId="1" xfId="1" applyFont="1" applyFill="1" applyBorder="1" applyAlignment="1">
      <alignment wrapText="1"/>
    </xf>
    <xf numFmtId="164" fontId="46" fillId="0" borderId="0" xfId="1" applyFont="1" applyBorder="1" applyAlignment="1">
      <alignment horizontal="center" wrapText="1"/>
    </xf>
    <xf numFmtId="0" fontId="33" fillId="6" borderId="1" xfId="0" applyFont="1" applyFill="1" applyBorder="1" applyAlignment="1">
      <alignment vertical="center" wrapText="1"/>
    </xf>
    <xf numFmtId="0" fontId="45" fillId="6" borderId="1" xfId="0" applyFont="1" applyFill="1" applyBorder="1" applyAlignment="1">
      <alignment vertical="top" wrapText="1"/>
    </xf>
    <xf numFmtId="0" fontId="33" fillId="7" borderId="1" xfId="0" applyFont="1" applyFill="1" applyBorder="1" applyAlignment="1">
      <alignment vertical="center" wrapText="1"/>
    </xf>
    <xf numFmtId="0" fontId="45" fillId="7" borderId="1" xfId="0" applyFont="1" applyFill="1" applyBorder="1" applyAlignment="1">
      <alignment vertical="top" wrapText="1"/>
    </xf>
    <xf numFmtId="0" fontId="45" fillId="8" borderId="1" xfId="0" applyFont="1" applyFill="1" applyBorder="1" applyAlignment="1">
      <alignment vertical="top" wrapText="1"/>
    </xf>
    <xf numFmtId="164" fontId="46" fillId="9" borderId="1" xfId="1" applyFont="1" applyFill="1" applyBorder="1" applyAlignment="1">
      <alignment wrapText="1"/>
    </xf>
    <xf numFmtId="0" fontId="33" fillId="10" borderId="1" xfId="0" applyFont="1" applyFill="1" applyBorder="1" applyAlignment="1">
      <alignment vertical="top" wrapText="1"/>
    </xf>
    <xf numFmtId="164" fontId="41" fillId="0" borderId="1" xfId="1" applyFont="1" applyFill="1" applyBorder="1" applyAlignment="1">
      <alignment wrapText="1"/>
    </xf>
    <xf numFmtId="164" fontId="41" fillId="0" borderId="1" xfId="1" applyFont="1" applyFill="1" applyBorder="1" applyAlignment="1">
      <alignment horizontal="center" wrapText="1"/>
    </xf>
    <xf numFmtId="164" fontId="38" fillId="0" borderId="5" xfId="1" applyFont="1" applyFill="1" applyBorder="1" applyAlignment="1">
      <alignment wrapText="1"/>
    </xf>
    <xf numFmtId="41" fontId="38" fillId="0" borderId="0" xfId="9" applyFont="1" applyFill="1" applyAlignment="1">
      <alignment wrapText="1"/>
    </xf>
    <xf numFmtId="166" fontId="38" fillId="0" borderId="0" xfId="9" applyNumberFormat="1" applyFont="1" applyFill="1" applyAlignment="1">
      <alignment wrapText="1"/>
    </xf>
    <xf numFmtId="164" fontId="41" fillId="8" borderId="1" xfId="1" applyFont="1" applyFill="1" applyBorder="1" applyAlignment="1">
      <alignment wrapText="1"/>
    </xf>
    <xf numFmtId="0" fontId="20" fillId="0" borderId="0" xfId="1" applyNumberFormat="1" applyFont="1" applyFill="1" applyBorder="1" applyAlignment="1">
      <alignment vertical="top" wrapText="1"/>
    </xf>
    <xf numFmtId="0" fontId="21" fillId="0" borderId="0" xfId="4" applyNumberFormat="1" applyFont="1" applyFill="1" applyBorder="1" applyAlignment="1">
      <alignment horizontal="left" vertical="center" wrapText="1"/>
    </xf>
    <xf numFmtId="164" fontId="20" fillId="0" borderId="0" xfId="1" applyFont="1" applyFill="1" applyAlignment="1">
      <alignment vertical="top" wrapText="1"/>
    </xf>
    <xf numFmtId="0" fontId="33" fillId="11" borderId="1" xfId="0" applyFont="1" applyFill="1" applyBorder="1" applyAlignment="1">
      <alignment vertical="center" wrapText="1"/>
    </xf>
    <xf numFmtId="164" fontId="46" fillId="11" borderId="1" xfId="1" applyFont="1" applyFill="1" applyBorder="1" applyAlignment="1">
      <alignment wrapText="1"/>
    </xf>
    <xf numFmtId="164" fontId="46" fillId="11" borderId="1" xfId="1" applyFont="1" applyFill="1" applyBorder="1" applyAlignment="1">
      <alignment horizontal="center" wrapText="1"/>
    </xf>
    <xf numFmtId="164" fontId="46" fillId="0" borderId="1" xfId="1" applyFont="1" applyFill="1" applyBorder="1" applyAlignment="1">
      <alignment horizontal="center" vertical="center" wrapText="1"/>
    </xf>
    <xf numFmtId="0" fontId="32" fillId="0" borderId="1" xfId="6" applyFont="1" applyBorder="1" applyAlignment="1">
      <alignment vertical="center" wrapText="1"/>
    </xf>
    <xf numFmtId="0" fontId="33" fillId="6" borderId="1" xfId="6" applyFont="1" applyFill="1" applyBorder="1" applyAlignment="1">
      <alignment vertical="center" wrapText="1"/>
    </xf>
    <xf numFmtId="164" fontId="14" fillId="0" borderId="0" xfId="1" applyFont="1" applyFill="1" applyAlignment="1">
      <alignment vertical="center" wrapText="1"/>
    </xf>
    <xf numFmtId="0" fontId="42" fillId="0" borderId="0" xfId="0" applyFont="1"/>
    <xf numFmtId="0" fontId="42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41" fillId="0" borderId="1" xfId="0" applyNumberFormat="1" applyFont="1" applyBorder="1" applyAlignment="1">
      <alignment wrapText="1"/>
    </xf>
    <xf numFmtId="0" fontId="38" fillId="0" borderId="1" xfId="0" applyFont="1" applyBorder="1" applyAlignment="1">
      <alignment wrapText="1"/>
    </xf>
    <xf numFmtId="0" fontId="47" fillId="6" borderId="1" xfId="0" applyFont="1" applyFill="1" applyBorder="1" applyAlignment="1">
      <alignment vertical="center" wrapText="1"/>
    </xf>
    <xf numFmtId="168" fontId="41" fillId="12" borderId="1" xfId="0" applyNumberFormat="1" applyFont="1" applyFill="1" applyBorder="1" applyAlignment="1">
      <alignment wrapText="1"/>
    </xf>
    <xf numFmtId="0" fontId="68" fillId="0" borderId="0" xfId="0" applyFont="1"/>
    <xf numFmtId="0" fontId="68" fillId="0" borderId="0" xfId="0" applyFont="1" applyAlignment="1">
      <alignment horizontal="center"/>
    </xf>
    <xf numFmtId="0" fontId="67" fillId="0" borderId="0" xfId="1" applyNumberFormat="1" applyFont="1" applyFill="1" applyBorder="1" applyAlignment="1">
      <alignment vertical="center" wrapText="1"/>
    </xf>
    <xf numFmtId="164" fontId="15" fillId="0" borderId="0" xfId="1" applyFont="1" applyFill="1" applyAlignment="1">
      <alignment vertical="top" wrapText="1"/>
    </xf>
    <xf numFmtId="164" fontId="21" fillId="0" borderId="0" xfId="1" applyFont="1" applyFill="1" applyAlignment="1">
      <alignment vertical="center" wrapText="1"/>
    </xf>
    <xf numFmtId="164" fontId="52" fillId="4" borderId="13" xfId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top" wrapText="1"/>
    </xf>
    <xf numFmtId="167" fontId="20" fillId="0" borderId="0" xfId="9" applyNumberFormat="1" applyFont="1" applyAlignment="1">
      <alignment horizontal="center" vertical="top" wrapText="1"/>
    </xf>
    <xf numFmtId="164" fontId="32" fillId="0" borderId="1" xfId="1" applyFont="1" applyFill="1" applyBorder="1" applyAlignment="1">
      <alignment horizontal="center" vertical="center"/>
    </xf>
    <xf numFmtId="164" fontId="32" fillId="0" borderId="0" xfId="1" applyFont="1" applyAlignment="1" applyProtection="1">
      <alignment horizontal="center" wrapText="1"/>
      <protection locked="0"/>
    </xf>
    <xf numFmtId="164" fontId="32" fillId="0" borderId="0" xfId="1" applyFont="1" applyAlignment="1" applyProtection="1">
      <alignment horizontal="center"/>
      <protection locked="0"/>
    </xf>
    <xf numFmtId="164" fontId="46" fillId="0" borderId="0" xfId="1" applyFont="1" applyBorder="1" applyAlignment="1">
      <alignment wrapText="1"/>
    </xf>
    <xf numFmtId="0" fontId="51" fillId="0" borderId="0" xfId="2" applyFont="1" applyAlignment="1">
      <alignment vertical="center" wrapText="1"/>
    </xf>
    <xf numFmtId="164" fontId="20" fillId="0" borderId="0" xfId="1" applyFont="1" applyFill="1" applyAlignment="1">
      <alignment horizontal="center" vertical="center" wrapText="1"/>
    </xf>
    <xf numFmtId="0" fontId="70" fillId="0" borderId="0" xfId="0" applyFont="1"/>
    <xf numFmtId="0" fontId="70" fillId="0" borderId="0" xfId="0" applyFont="1" applyAlignment="1">
      <alignment horizontal="center"/>
    </xf>
    <xf numFmtId="0" fontId="69" fillId="0" borderId="0" xfId="0" applyFont="1"/>
    <xf numFmtId="0" fontId="69" fillId="0" borderId="0" xfId="0" applyFont="1" applyAlignment="1">
      <alignment horizontal="center"/>
    </xf>
    <xf numFmtId="0" fontId="21" fillId="0" borderId="0" xfId="2" applyFont="1" applyAlignment="1">
      <alignment vertical="center" wrapText="1"/>
    </xf>
    <xf numFmtId="0" fontId="15" fillId="0" borderId="0" xfId="2" applyFont="1" applyAlignment="1">
      <alignment vertical="top" wrapText="1"/>
    </xf>
    <xf numFmtId="0" fontId="65" fillId="0" borderId="0" xfId="2" applyFont="1" applyAlignment="1">
      <alignment horizontal="center" vertical="center" wrapText="1"/>
    </xf>
    <xf numFmtId="0" fontId="20" fillId="0" borderId="0" xfId="2" applyFont="1" applyAlignment="1">
      <alignment horizontal="left" vertical="top" wrapText="1"/>
    </xf>
    <xf numFmtId="0" fontId="23" fillId="0" borderId="0" xfId="2" applyFont="1" applyAlignment="1">
      <alignment horizontal="left" vertical="top" wrapText="1"/>
    </xf>
    <xf numFmtId="0" fontId="15" fillId="0" borderId="0" xfId="4" applyNumberFormat="1" applyFont="1" applyAlignment="1">
      <alignment vertical="top" wrapText="1"/>
    </xf>
    <xf numFmtId="0" fontId="49" fillId="0" borderId="0" xfId="0" applyFont="1" applyAlignment="1">
      <alignment wrapText="1"/>
    </xf>
    <xf numFmtId="168" fontId="46" fillId="0" borderId="1" xfId="1" applyNumberFormat="1" applyFont="1" applyBorder="1" applyAlignment="1">
      <alignment wrapText="1"/>
    </xf>
    <xf numFmtId="164" fontId="20" fillId="0" borderId="0" xfId="1" applyFont="1" applyFill="1" applyBorder="1" applyAlignment="1">
      <alignment horizontal="center" vertical="center" wrapText="1"/>
    </xf>
    <xf numFmtId="164" fontId="20" fillId="0" borderId="0" xfId="1" applyFont="1" applyAlignment="1">
      <alignment horizontal="center" vertical="top" wrapText="1"/>
    </xf>
    <xf numFmtId="169" fontId="66" fillId="0" borderId="0" xfId="1" applyNumberFormat="1" applyFont="1" applyAlignment="1">
      <alignment horizontal="left" vertical="top" wrapText="1"/>
    </xf>
    <xf numFmtId="164" fontId="20" fillId="0" borderId="0" xfId="4" applyFont="1" applyAlignment="1">
      <alignment horizontal="center" vertical="center" wrapText="1"/>
    </xf>
    <xf numFmtId="164" fontId="15" fillId="0" borderId="0" xfId="4" applyFont="1" applyAlignment="1">
      <alignment horizontal="center" vertical="center" wrapText="1"/>
    </xf>
    <xf numFmtId="169" fontId="20" fillId="0" borderId="0" xfId="1" applyNumberFormat="1" applyFont="1" applyAlignment="1">
      <alignment horizontal="left" vertical="top" wrapText="1"/>
    </xf>
    <xf numFmtId="0" fontId="20" fillId="0" borderId="0" xfId="70" applyNumberFormat="1" applyFont="1" applyFill="1" applyBorder="1" applyAlignment="1">
      <alignment vertical="top" wrapText="1"/>
    </xf>
    <xf numFmtId="0" fontId="14" fillId="0" borderId="0" xfId="70" applyNumberFormat="1" applyFont="1" applyFill="1" applyBorder="1" applyAlignment="1">
      <alignment vertical="center" wrapText="1"/>
    </xf>
    <xf numFmtId="0" fontId="20" fillId="0" borderId="0" xfId="69" applyFont="1" applyAlignment="1">
      <alignment vertical="top" wrapText="1"/>
    </xf>
    <xf numFmtId="0" fontId="45" fillId="13" borderId="1" xfId="0" applyFont="1" applyFill="1" applyBorder="1" applyAlignment="1">
      <alignment vertical="top" wrapText="1"/>
    </xf>
    <xf numFmtId="168" fontId="49" fillId="0" borderId="1" xfId="0" applyNumberFormat="1" applyFont="1" applyBorder="1" applyAlignment="1">
      <alignment wrapText="1"/>
    </xf>
    <xf numFmtId="164" fontId="41" fillId="0" borderId="0" xfId="1" applyFont="1" applyBorder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0" fontId="24" fillId="0" borderId="0" xfId="2" applyFont="1" applyAlignment="1">
      <alignment horizontal="center" vertical="center" wrapText="1"/>
    </xf>
    <xf numFmtId="164" fontId="72" fillId="0" borderId="0" xfId="4" applyFont="1" applyFill="1" applyBorder="1" applyAlignment="1">
      <alignment horizontal="center" vertical="center" wrapText="1"/>
    </xf>
    <xf numFmtId="164" fontId="13" fillId="0" borderId="0" xfId="4" applyFont="1" applyFill="1" applyAlignment="1">
      <alignment horizontal="center" wrapText="1"/>
    </xf>
    <xf numFmtId="164" fontId="25" fillId="0" borderId="0" xfId="1" applyFont="1" applyFill="1" applyBorder="1" applyAlignment="1">
      <alignment horizontal="center" vertical="center" wrapText="1"/>
    </xf>
    <xf numFmtId="164" fontId="15" fillId="0" borderId="0" xfId="1" applyFont="1" applyFill="1" applyAlignment="1">
      <alignment horizontal="center" vertical="center" wrapText="1"/>
    </xf>
    <xf numFmtId="164" fontId="73" fillId="0" borderId="0" xfId="1" applyFont="1" applyFill="1" applyBorder="1" applyAlignment="1">
      <alignment vertical="center" wrapText="1"/>
    </xf>
    <xf numFmtId="167" fontId="24" fillId="0" borderId="0" xfId="9" applyNumberFormat="1" applyFont="1" applyFill="1" applyBorder="1" applyAlignment="1">
      <alignment horizontal="left" vertical="center" wrapText="1"/>
    </xf>
    <xf numFmtId="167" fontId="20" fillId="0" borderId="0" xfId="9" applyNumberFormat="1" applyFont="1" applyFill="1" applyBorder="1" applyAlignment="1">
      <alignment horizontal="left" vertical="center" wrapText="1"/>
    </xf>
    <xf numFmtId="167" fontId="15" fillId="0" borderId="0" xfId="9" applyNumberFormat="1" applyFont="1" applyFill="1" applyBorder="1" applyAlignment="1">
      <alignment horizontal="left" vertical="center" wrapText="1"/>
    </xf>
    <xf numFmtId="167" fontId="20" fillId="0" borderId="0" xfId="9" applyNumberFormat="1" applyFont="1" applyFill="1" applyAlignment="1">
      <alignment horizontal="center" vertical="center" wrapText="1"/>
    </xf>
    <xf numFmtId="167" fontId="58" fillId="0" borderId="0" xfId="9" applyNumberFormat="1" applyFont="1" applyFill="1" applyBorder="1" applyAlignment="1">
      <alignment horizontal="left" vertical="center" wrapText="1"/>
    </xf>
    <xf numFmtId="167" fontId="23" fillId="0" borderId="0" xfId="9" applyNumberFormat="1" applyFont="1" applyAlignment="1">
      <alignment horizontal="center" vertical="center" wrapText="1"/>
    </xf>
    <xf numFmtId="167" fontId="27" fillId="0" borderId="0" xfId="9" applyNumberFormat="1" applyFont="1" applyAlignment="1">
      <alignment horizontal="left" vertical="center" wrapText="1"/>
    </xf>
    <xf numFmtId="167" fontId="15" fillId="0" borderId="0" xfId="9" applyNumberFormat="1" applyFont="1" applyFill="1" applyBorder="1" applyAlignment="1">
      <alignment vertical="center" wrapText="1"/>
    </xf>
    <xf numFmtId="0" fontId="15" fillId="0" borderId="0" xfId="70" applyNumberFormat="1" applyFont="1" applyFill="1" applyBorder="1" applyAlignment="1">
      <alignment vertical="top" wrapText="1"/>
    </xf>
    <xf numFmtId="170" fontId="11" fillId="0" borderId="2" xfId="1" applyNumberFormat="1" applyFont="1" applyBorder="1"/>
    <xf numFmtId="0" fontId="24" fillId="0" borderId="2" xfId="2" applyFont="1" applyBorder="1" applyAlignment="1">
      <alignment horizontal="left" vertical="top" wrapText="1"/>
    </xf>
    <xf numFmtId="170" fontId="42" fillId="0" borderId="2" xfId="1" applyNumberFormat="1" applyFont="1" applyBorder="1" applyAlignment="1">
      <alignment horizontal="center" vertical="center"/>
    </xf>
    <xf numFmtId="164" fontId="13" fillId="0" borderId="0" xfId="1" applyFont="1" applyFill="1" applyBorder="1" applyAlignment="1">
      <alignment horizontal="center" vertical="top" wrapText="1"/>
    </xf>
    <xf numFmtId="167" fontId="15" fillId="0" borderId="0" xfId="9" applyNumberFormat="1" applyFont="1" applyAlignment="1">
      <alignment horizontal="center" vertical="center" wrapText="1"/>
    </xf>
    <xf numFmtId="41" fontId="13" fillId="0" borderId="0" xfId="9" applyFont="1" applyAlignment="1">
      <alignment horizontal="center" vertical="center" wrapText="1"/>
    </xf>
    <xf numFmtId="166" fontId="16" fillId="0" borderId="0" xfId="9" applyNumberFormat="1" applyFont="1" applyAlignment="1">
      <alignment vertical="center"/>
    </xf>
    <xf numFmtId="166" fontId="57" fillId="0" borderId="0" xfId="9" applyNumberFormat="1" applyFont="1" applyAlignment="1">
      <alignment vertical="top" wrapText="1"/>
    </xf>
    <xf numFmtId="166" fontId="17" fillId="0" borderId="0" xfId="9" applyNumberFormat="1" applyFont="1" applyAlignment="1">
      <alignment vertical="center"/>
    </xf>
    <xf numFmtId="166" fontId="13" fillId="0" borderId="0" xfId="9" applyNumberFormat="1" applyFont="1" applyAlignment="1">
      <alignment horizontal="center" vertical="center" wrapText="1"/>
    </xf>
    <xf numFmtId="164" fontId="24" fillId="0" borderId="0" xfId="2" applyNumberFormat="1" applyFont="1" applyAlignment="1">
      <alignment vertical="center" wrapText="1"/>
    </xf>
    <xf numFmtId="170" fontId="11" fillId="0" borderId="0" xfId="1" applyNumberFormat="1" applyFont="1" applyBorder="1" applyAlignment="1">
      <alignment horizontal="center" vertical="center"/>
    </xf>
    <xf numFmtId="41" fontId="24" fillId="0" borderId="26" xfId="9" applyFont="1" applyBorder="1" applyAlignment="1">
      <alignment horizontal="left" vertical="center" wrapText="1"/>
    </xf>
    <xf numFmtId="41" fontId="24" fillId="0" borderId="29" xfId="9" applyFont="1" applyBorder="1" applyAlignment="1">
      <alignment horizontal="left" vertical="center" wrapText="1"/>
    </xf>
    <xf numFmtId="41" fontId="24" fillId="0" borderId="32" xfId="9" applyFont="1" applyBorder="1" applyAlignment="1">
      <alignment horizontal="left" vertical="center" wrapText="1"/>
    </xf>
    <xf numFmtId="165" fontId="24" fillId="0" borderId="37" xfId="2" applyNumberFormat="1" applyFont="1" applyBorder="1" applyAlignment="1">
      <alignment vertical="center" wrapText="1"/>
    </xf>
    <xf numFmtId="165" fontId="24" fillId="0" borderId="35" xfId="2" applyNumberFormat="1" applyFont="1" applyBorder="1" applyAlignment="1">
      <alignment vertical="center" wrapText="1"/>
    </xf>
    <xf numFmtId="165" fontId="24" fillId="0" borderId="36" xfId="2" applyNumberFormat="1" applyFont="1" applyBorder="1" applyAlignment="1">
      <alignment vertical="center" wrapText="1"/>
    </xf>
    <xf numFmtId="171" fontId="12" fillId="0" borderId="0" xfId="2" applyNumberFormat="1" applyFont="1" applyAlignment="1">
      <alignment vertical="top" wrapText="1"/>
    </xf>
    <xf numFmtId="41" fontId="16" fillId="0" borderId="0" xfId="9" applyFont="1" applyAlignment="1">
      <alignment vertical="center"/>
    </xf>
    <xf numFmtId="167" fontId="16" fillId="0" borderId="0" xfId="9" applyNumberFormat="1" applyFont="1" applyAlignment="1">
      <alignment vertical="center"/>
    </xf>
    <xf numFmtId="41" fontId="17" fillId="0" borderId="0" xfId="9" applyFont="1" applyAlignment="1">
      <alignment vertical="center"/>
    </xf>
    <xf numFmtId="41" fontId="57" fillId="0" borderId="0" xfId="9" applyFont="1" applyAlignment="1">
      <alignment vertical="top" wrapText="1"/>
    </xf>
    <xf numFmtId="167" fontId="17" fillId="0" borderId="0" xfId="9" applyNumberFormat="1" applyFont="1" applyAlignment="1">
      <alignment vertical="center"/>
    </xf>
    <xf numFmtId="167" fontId="12" fillId="0" borderId="0" xfId="9" applyNumberFormat="1" applyFont="1" applyAlignment="1">
      <alignment vertical="top" wrapText="1"/>
    </xf>
    <xf numFmtId="167" fontId="57" fillId="0" borderId="0" xfId="9" applyNumberFormat="1" applyFont="1" applyAlignment="1">
      <alignment vertical="top" wrapText="1"/>
    </xf>
    <xf numFmtId="41" fontId="24" fillId="0" borderId="0" xfId="9" applyFont="1" applyAlignment="1">
      <alignment vertical="center" wrapText="1"/>
    </xf>
    <xf numFmtId="165" fontId="24" fillId="0" borderId="2" xfId="1" applyNumberFormat="1" applyFont="1" applyBorder="1" applyAlignment="1">
      <alignment horizontal="right" wrapText="1"/>
    </xf>
    <xf numFmtId="168" fontId="16" fillId="0" borderId="0" xfId="0" applyNumberFormat="1" applyFont="1" applyAlignment="1">
      <alignment vertical="center"/>
    </xf>
    <xf numFmtId="164" fontId="13" fillId="0" borderId="0" xfId="2" applyNumberFormat="1" applyFont="1" applyAlignment="1">
      <alignment horizontal="center" vertical="center" wrapText="1"/>
    </xf>
    <xf numFmtId="165" fontId="24" fillId="0" borderId="0" xfId="2" applyNumberFormat="1" applyFont="1" applyAlignment="1">
      <alignment vertical="center" wrapText="1"/>
    </xf>
    <xf numFmtId="168" fontId="13" fillId="0" borderId="0" xfId="2" applyNumberFormat="1" applyFont="1" applyAlignment="1">
      <alignment horizontal="center" vertical="center" wrapText="1"/>
    </xf>
    <xf numFmtId="168" fontId="24" fillId="0" borderId="0" xfId="2" applyNumberFormat="1" applyFont="1" applyAlignment="1">
      <alignment vertical="center" wrapText="1"/>
    </xf>
    <xf numFmtId="41" fontId="24" fillId="0" borderId="0" xfId="2" applyNumberFormat="1" applyFont="1" applyAlignment="1">
      <alignment vertical="center" wrapText="1"/>
    </xf>
    <xf numFmtId="164" fontId="33" fillId="0" borderId="20" xfId="1" applyFont="1" applyFill="1" applyBorder="1" applyAlignment="1">
      <alignment horizontal="center" wrapText="1"/>
    </xf>
    <xf numFmtId="164" fontId="13" fillId="0" borderId="21" xfId="1" applyFont="1" applyBorder="1" applyAlignment="1">
      <alignment horizontal="left" wrapText="1"/>
    </xf>
    <xf numFmtId="165" fontId="13" fillId="0" borderId="20" xfId="1" applyNumberFormat="1" applyFont="1" applyBorder="1" applyAlignment="1">
      <alignment horizontal="left" wrapText="1"/>
    </xf>
    <xf numFmtId="164" fontId="33" fillId="0" borderId="22" xfId="1" applyFont="1" applyFill="1" applyBorder="1" applyAlignment="1">
      <alignment horizontal="center" wrapText="1"/>
    </xf>
    <xf numFmtId="164" fontId="13" fillId="0" borderId="23" xfId="1" applyFont="1" applyBorder="1" applyAlignment="1">
      <alignment horizontal="left" wrapText="1"/>
    </xf>
    <xf numFmtId="165" fontId="13" fillId="0" borderId="22" xfId="1" applyNumberFormat="1" applyFont="1" applyBorder="1" applyAlignment="1">
      <alignment horizontal="left" wrapText="1"/>
    </xf>
    <xf numFmtId="164" fontId="45" fillId="0" borderId="22" xfId="1" applyFont="1" applyFill="1" applyBorder="1" applyAlignment="1">
      <alignment horizontal="center" wrapText="1"/>
    </xf>
    <xf numFmtId="164" fontId="58" fillId="0" borderId="23" xfId="1" applyFont="1" applyBorder="1" applyAlignment="1">
      <alignment horizontal="left" wrapText="1"/>
    </xf>
    <xf numFmtId="165" fontId="58" fillId="0" borderId="22" xfId="1" applyNumberFormat="1" applyFont="1" applyBorder="1" applyAlignment="1">
      <alignment horizontal="left" wrapText="1"/>
    </xf>
    <xf numFmtId="164" fontId="33" fillId="0" borderId="24" xfId="1" applyFont="1" applyFill="1" applyBorder="1" applyAlignment="1">
      <alignment horizontal="center" wrapText="1"/>
    </xf>
    <xf numFmtId="164" fontId="13" fillId="0" borderId="25" xfId="1" applyFont="1" applyBorder="1" applyAlignment="1">
      <alignment horizontal="left" wrapText="1"/>
    </xf>
    <xf numFmtId="165" fontId="13" fillId="0" borderId="24" xfId="1" applyNumberFormat="1" applyFont="1" applyBorder="1" applyAlignment="1">
      <alignment horizontal="left" wrapText="1"/>
    </xf>
    <xf numFmtId="164" fontId="33" fillId="0" borderId="20" xfId="1" applyFont="1" applyFill="1" applyBorder="1" applyAlignment="1">
      <alignment horizontal="left" vertical="center" wrapText="1"/>
    </xf>
    <xf numFmtId="41" fontId="13" fillId="0" borderId="27" xfId="9" applyFont="1" applyBorder="1" applyAlignment="1">
      <alignment horizontal="left" vertical="center" wrapText="1"/>
    </xf>
    <xf numFmtId="41" fontId="13" fillId="0" borderId="28" xfId="9" applyFont="1" applyBorder="1" applyAlignment="1">
      <alignment horizontal="left" vertical="center" wrapText="1"/>
    </xf>
    <xf numFmtId="164" fontId="33" fillId="0" borderId="22" xfId="1" applyFont="1" applyFill="1" applyBorder="1" applyAlignment="1">
      <alignment horizontal="left" vertical="center" wrapText="1"/>
    </xf>
    <xf numFmtId="41" fontId="13" fillId="0" borderId="30" xfId="9" applyFont="1" applyBorder="1" applyAlignment="1">
      <alignment horizontal="left" vertical="center" wrapText="1"/>
    </xf>
    <xf numFmtId="41" fontId="13" fillId="0" borderId="31" xfId="9" applyFont="1" applyBorder="1" applyAlignment="1">
      <alignment horizontal="left" vertical="center" wrapText="1"/>
    </xf>
    <xf numFmtId="41" fontId="13" fillId="0" borderId="33" xfId="9" applyFont="1" applyBorder="1" applyAlignment="1">
      <alignment horizontal="left" vertical="center" wrapText="1"/>
    </xf>
    <xf numFmtId="41" fontId="13" fillId="0" borderId="34" xfId="9" applyFont="1" applyBorder="1" applyAlignment="1">
      <alignment horizontal="left" vertical="center" wrapText="1"/>
    </xf>
    <xf numFmtId="164" fontId="52" fillId="4" borderId="37" xfId="1" applyFont="1" applyFill="1" applyBorder="1" applyAlignment="1">
      <alignment horizontal="center" vertical="center" wrapText="1"/>
    </xf>
    <xf numFmtId="164" fontId="52" fillId="4" borderId="35" xfId="1" applyFont="1" applyFill="1" applyBorder="1" applyAlignment="1">
      <alignment horizontal="center" vertical="center" wrapText="1"/>
    </xf>
    <xf numFmtId="164" fontId="52" fillId="4" borderId="36" xfId="1" applyFont="1" applyFill="1" applyBorder="1" applyAlignment="1">
      <alignment horizontal="center" vertical="center" wrapText="1"/>
    </xf>
    <xf numFmtId="172" fontId="11" fillId="0" borderId="2" xfId="1" applyNumberFormat="1" applyFont="1" applyBorder="1" applyAlignment="1">
      <alignment horizontal="center" vertical="center"/>
    </xf>
    <xf numFmtId="0" fontId="12" fillId="0" borderId="0" xfId="2" applyFont="1" applyAlignment="1">
      <alignment horizontal="center" vertical="center" wrapText="1"/>
    </xf>
    <xf numFmtId="164" fontId="24" fillId="0" borderId="21" xfId="1" applyFont="1" applyBorder="1" applyAlignment="1">
      <alignment horizontal="left" vertical="center" wrapText="1"/>
    </xf>
    <xf numFmtId="164" fontId="24" fillId="0" borderId="23" xfId="1" applyFont="1" applyBorder="1" applyAlignment="1">
      <alignment horizontal="left" vertical="center" wrapText="1"/>
    </xf>
    <xf numFmtId="165" fontId="24" fillId="0" borderId="41" xfId="2" applyNumberFormat="1" applyFont="1" applyBorder="1" applyAlignment="1">
      <alignment vertical="center" wrapText="1"/>
    </xf>
    <xf numFmtId="41" fontId="24" fillId="9" borderId="26" xfId="9" applyFont="1" applyFill="1" applyBorder="1" applyAlignment="1">
      <alignment horizontal="left" vertical="center" wrapText="1"/>
    </xf>
    <xf numFmtId="41" fontId="24" fillId="9" borderId="29" xfId="9" applyFont="1" applyFill="1" applyBorder="1" applyAlignment="1">
      <alignment horizontal="left" vertical="center" wrapText="1"/>
    </xf>
    <xf numFmtId="41" fontId="24" fillId="14" borderId="29" xfId="9" applyFont="1" applyFill="1" applyBorder="1" applyAlignment="1">
      <alignment horizontal="left" vertical="center" wrapText="1"/>
    </xf>
    <xf numFmtId="41" fontId="24" fillId="14" borderId="32" xfId="9" applyFont="1" applyFill="1" applyBorder="1" applyAlignment="1">
      <alignment horizontal="left" vertical="center" wrapText="1"/>
    </xf>
    <xf numFmtId="0" fontId="19" fillId="2" borderId="2" xfId="3" applyFont="1" applyFill="1" applyBorder="1" applyAlignment="1">
      <alignment horizontal="left" vertical="center" wrapText="1"/>
    </xf>
    <xf numFmtId="0" fontId="42" fillId="0" borderId="2" xfId="0" applyFont="1" applyBorder="1" applyAlignment="1">
      <alignment horizontal="center"/>
    </xf>
    <xf numFmtId="41" fontId="24" fillId="9" borderId="26" xfId="9" applyFont="1" applyFill="1" applyBorder="1" applyAlignment="1">
      <alignment horizontal="right" vertical="center" wrapText="1"/>
    </xf>
    <xf numFmtId="41" fontId="13" fillId="0" borderId="27" xfId="9" applyFont="1" applyBorder="1" applyAlignment="1">
      <alignment horizontal="right" vertical="center" wrapText="1"/>
    </xf>
    <xf numFmtId="41" fontId="13" fillId="0" borderId="28" xfId="9" applyFont="1" applyBorder="1" applyAlignment="1">
      <alignment horizontal="right" vertical="center" wrapText="1"/>
    </xf>
    <xf numFmtId="41" fontId="24" fillId="0" borderId="26" xfId="9" applyFont="1" applyBorder="1" applyAlignment="1">
      <alignment horizontal="right" vertical="center" wrapText="1"/>
    </xf>
    <xf numFmtId="41" fontId="24" fillId="14" borderId="32" xfId="9" applyFont="1" applyFill="1" applyBorder="1" applyAlignment="1">
      <alignment horizontal="right" vertical="center" wrapText="1"/>
    </xf>
    <xf numFmtId="41" fontId="13" fillId="0" borderId="33" xfId="9" applyFont="1" applyBorder="1" applyAlignment="1">
      <alignment horizontal="right" vertical="center" wrapText="1"/>
    </xf>
    <xf numFmtId="41" fontId="13" fillId="0" borderId="34" xfId="9" applyFont="1" applyBorder="1" applyAlignment="1">
      <alignment horizontal="right" vertical="center" wrapText="1"/>
    </xf>
    <xf numFmtId="41" fontId="24" fillId="0" borderId="32" xfId="9" applyFont="1" applyBorder="1" applyAlignment="1">
      <alignment horizontal="right" vertical="center" wrapText="1"/>
    </xf>
    <xf numFmtId="41" fontId="24" fillId="0" borderId="37" xfId="9" applyFont="1" applyBorder="1" applyAlignment="1">
      <alignment horizontal="right" vertical="center" wrapText="1"/>
    </xf>
    <xf numFmtId="41" fontId="13" fillId="0" borderId="35" xfId="9" applyFont="1" applyBorder="1" applyAlignment="1">
      <alignment horizontal="right" vertical="center" wrapText="1"/>
    </xf>
    <xf numFmtId="41" fontId="13" fillId="0" borderId="36" xfId="9" applyFont="1" applyBorder="1" applyAlignment="1">
      <alignment horizontal="right" vertical="center" wrapText="1"/>
    </xf>
    <xf numFmtId="164" fontId="24" fillId="0" borderId="0" xfId="1" applyFont="1" applyBorder="1" applyAlignment="1">
      <alignment horizontal="center" wrapText="1"/>
    </xf>
    <xf numFmtId="165" fontId="24" fillId="0" borderId="0" xfId="1" applyNumberFormat="1" applyFont="1" applyBorder="1" applyAlignment="1">
      <alignment horizontal="right" wrapText="1"/>
    </xf>
    <xf numFmtId="165" fontId="24" fillId="0" borderId="0" xfId="1" applyNumberFormat="1" applyFont="1" applyBorder="1" applyAlignment="1">
      <alignment horizontal="center" wrapText="1"/>
    </xf>
    <xf numFmtId="0" fontId="75" fillId="0" borderId="1" xfId="0" applyFont="1" applyBorder="1" applyAlignment="1">
      <alignment vertical="top" wrapText="1"/>
    </xf>
    <xf numFmtId="0" fontId="59" fillId="0" borderId="1" xfId="0" applyFont="1" applyBorder="1" applyAlignment="1">
      <alignment vertical="center" wrapText="1"/>
    </xf>
    <xf numFmtId="164" fontId="76" fillId="0" borderId="0" xfId="4" applyFont="1" applyFill="1" applyBorder="1" applyAlignment="1">
      <alignment horizontal="center" vertical="center" wrapText="1"/>
    </xf>
    <xf numFmtId="0" fontId="76" fillId="0" borderId="0" xfId="4" applyNumberFormat="1" applyFont="1" applyFill="1" applyBorder="1" applyAlignment="1">
      <alignment vertical="center" wrapText="1"/>
    </xf>
    <xf numFmtId="164" fontId="77" fillId="0" borderId="0" xfId="4" applyFont="1" applyFill="1" applyBorder="1" applyAlignment="1">
      <alignment horizontal="center" vertical="center" wrapText="1"/>
    </xf>
    <xf numFmtId="167" fontId="77" fillId="0" borderId="0" xfId="9" applyNumberFormat="1" applyFont="1" applyFill="1" applyBorder="1" applyAlignment="1">
      <alignment horizontal="left" vertical="center" wrapText="1"/>
    </xf>
    <xf numFmtId="164" fontId="78" fillId="0" borderId="0" xfId="4" applyFont="1" applyFill="1" applyBorder="1" applyAlignment="1">
      <alignment horizontal="center" vertical="center" wrapText="1"/>
    </xf>
    <xf numFmtId="0" fontId="79" fillId="0" borderId="0" xfId="0" applyFont="1" applyAlignment="1">
      <alignment vertical="center"/>
    </xf>
    <xf numFmtId="166" fontId="79" fillId="0" borderId="0" xfId="9" applyNumberFormat="1" applyFont="1" applyAlignment="1">
      <alignment vertical="center"/>
    </xf>
    <xf numFmtId="167" fontId="79" fillId="0" borderId="0" xfId="9" applyNumberFormat="1" applyFont="1" applyAlignment="1">
      <alignment vertical="center"/>
    </xf>
    <xf numFmtId="164" fontId="43" fillId="3" borderId="10" xfId="1" applyFont="1" applyFill="1" applyBorder="1" applyAlignment="1">
      <alignment horizontal="center" vertical="center" wrapText="1"/>
    </xf>
    <xf numFmtId="164" fontId="43" fillId="3" borderId="1" xfId="1" applyFont="1" applyFill="1" applyBorder="1" applyAlignment="1">
      <alignment horizontal="center" vertical="center" wrapText="1"/>
    </xf>
    <xf numFmtId="164" fontId="28" fillId="0" borderId="1" xfId="1" applyFont="1" applyBorder="1" applyAlignment="1">
      <alignment horizontal="center"/>
    </xf>
    <xf numFmtId="164" fontId="43" fillId="3" borderId="11" xfId="1" applyFont="1" applyFill="1" applyBorder="1" applyAlignment="1">
      <alignment horizontal="center" vertical="center" wrapText="1"/>
    </xf>
    <xf numFmtId="164" fontId="0" fillId="0" borderId="5" xfId="1" applyFont="1" applyBorder="1"/>
    <xf numFmtId="0" fontId="14" fillId="0" borderId="0" xfId="0" applyFont="1" applyAlignment="1">
      <alignment horizontal="center" vertical="top" wrapText="1"/>
    </xf>
    <xf numFmtId="0" fontId="42" fillId="3" borderId="9" xfId="0" applyFont="1" applyFill="1" applyBorder="1" applyAlignment="1">
      <alignment horizontal="center" vertical="center" wrapText="1"/>
    </xf>
    <xf numFmtId="0" fontId="0" fillId="0" borderId="4" xfId="0" applyBorder="1"/>
    <xf numFmtId="0" fontId="42" fillId="3" borderId="10" xfId="0" applyFont="1" applyFill="1" applyBorder="1" applyAlignment="1">
      <alignment horizontal="center" vertical="center" wrapText="1"/>
    </xf>
    <xf numFmtId="0" fontId="0" fillId="0" borderId="1" xfId="0" applyBorder="1"/>
    <xf numFmtId="164" fontId="11" fillId="0" borderId="1" xfId="1" applyFont="1" applyBorder="1"/>
    <xf numFmtId="164" fontId="44" fillId="3" borderId="15" xfId="1" applyFont="1" applyFill="1" applyBorder="1" applyAlignment="1">
      <alignment horizontal="center" vertical="center" wrapText="1"/>
    </xf>
    <xf numFmtId="164" fontId="44" fillId="3" borderId="16" xfId="1" applyFont="1" applyFill="1" applyBorder="1" applyAlignment="1">
      <alignment horizontal="center" vertical="center" wrapText="1"/>
    </xf>
    <xf numFmtId="164" fontId="44" fillId="3" borderId="17" xfId="1" applyFont="1" applyFill="1" applyBorder="1" applyAlignment="1">
      <alignment horizontal="center" vertical="center" wrapText="1"/>
    </xf>
    <xf numFmtId="165" fontId="24" fillId="0" borderId="3" xfId="1" applyNumberFormat="1" applyFont="1" applyBorder="1" applyAlignment="1">
      <alignment horizontal="center" wrapText="1"/>
    </xf>
    <xf numFmtId="165" fontId="24" fillId="0" borderId="18" xfId="1" applyNumberFormat="1" applyFont="1" applyBorder="1" applyAlignment="1">
      <alignment horizontal="center" wrapText="1"/>
    </xf>
    <xf numFmtId="0" fontId="24" fillId="0" borderId="0" xfId="2" applyFont="1" applyAlignment="1">
      <alignment horizontal="left" vertical="top" wrapText="1"/>
    </xf>
    <xf numFmtId="0" fontId="51" fillId="0" borderId="0" xfId="2" applyFont="1" applyAlignment="1">
      <alignment horizontal="center" vertical="top" wrapText="1"/>
    </xf>
    <xf numFmtId="164" fontId="24" fillId="0" borderId="3" xfId="1" applyFont="1" applyBorder="1" applyAlignment="1">
      <alignment horizontal="center" wrapText="1"/>
    </xf>
    <xf numFmtId="164" fontId="24" fillId="0" borderId="18" xfId="1" applyFont="1" applyBorder="1" applyAlignment="1">
      <alignment horizontal="center" wrapText="1"/>
    </xf>
    <xf numFmtId="164" fontId="52" fillId="4" borderId="3" xfId="1" applyFont="1" applyFill="1" applyBorder="1" applyAlignment="1">
      <alignment horizontal="center" vertical="center" wrapText="1"/>
    </xf>
    <xf numFmtId="164" fontId="52" fillId="4" borderId="18" xfId="1" applyFont="1" applyFill="1" applyBorder="1" applyAlignment="1">
      <alignment horizontal="center" vertical="center" wrapText="1"/>
    </xf>
    <xf numFmtId="165" fontId="13" fillId="0" borderId="21" xfId="1" applyNumberFormat="1" applyFont="1" applyBorder="1" applyAlignment="1">
      <alignment horizontal="center" wrapText="1"/>
    </xf>
    <xf numFmtId="165" fontId="13" fillId="0" borderId="38" xfId="1" applyNumberFormat="1" applyFont="1" applyBorder="1" applyAlignment="1">
      <alignment horizontal="center" wrapText="1"/>
    </xf>
    <xf numFmtId="165" fontId="13" fillId="0" borderId="23" xfId="1" applyNumberFormat="1" applyFont="1" applyBorder="1" applyAlignment="1">
      <alignment horizontal="center" wrapText="1"/>
    </xf>
    <xf numFmtId="165" fontId="13" fillId="0" borderId="39" xfId="1" applyNumberFormat="1" applyFont="1" applyBorder="1" applyAlignment="1">
      <alignment horizontal="center" wrapText="1"/>
    </xf>
    <xf numFmtId="165" fontId="13" fillId="0" borderId="25" xfId="1" applyNumberFormat="1" applyFont="1" applyBorder="1" applyAlignment="1">
      <alignment horizontal="center" wrapText="1"/>
    </xf>
    <xf numFmtId="165" fontId="13" fillId="0" borderId="40" xfId="1" applyNumberFormat="1" applyFont="1" applyBorder="1" applyAlignment="1">
      <alignment horizontal="center" wrapText="1"/>
    </xf>
    <xf numFmtId="0" fontId="24" fillId="0" borderId="0" xfId="0" applyFont="1" applyAlignment="1">
      <alignment horizontal="left" vertical="top" wrapText="1"/>
    </xf>
    <xf numFmtId="0" fontId="51" fillId="0" borderId="0" xfId="2" applyFont="1" applyAlignment="1">
      <alignment horizontal="center" vertical="center" wrapText="1"/>
    </xf>
    <xf numFmtId="165" fontId="58" fillId="0" borderId="23" xfId="1" applyNumberFormat="1" applyFont="1" applyBorder="1" applyAlignment="1">
      <alignment horizontal="center" wrapText="1"/>
    </xf>
    <xf numFmtId="165" fontId="58" fillId="0" borderId="39" xfId="1" applyNumberFormat="1" applyFont="1" applyBorder="1" applyAlignment="1">
      <alignment horizontal="center" wrapText="1"/>
    </xf>
    <xf numFmtId="0" fontId="74" fillId="0" borderId="19" xfId="0" applyFont="1" applyBorder="1" applyAlignment="1" applyProtection="1">
      <alignment horizontal="center" vertical="center" wrapText="1"/>
      <protection locked="0"/>
    </xf>
    <xf numFmtId="0" fontId="24" fillId="0" borderId="2" xfId="2" applyFont="1" applyBorder="1" applyAlignment="1">
      <alignment horizontal="center" vertical="center" wrapText="1"/>
    </xf>
    <xf numFmtId="0" fontId="13" fillId="0" borderId="0" xfId="2" applyFont="1" applyAlignment="1">
      <alignment horizontal="center" vertical="top" wrapText="1"/>
    </xf>
    <xf numFmtId="0" fontId="24" fillId="0" borderId="26" xfId="2" applyFont="1" applyBorder="1" applyAlignment="1">
      <alignment horizontal="center" vertical="center" wrapText="1"/>
    </xf>
    <xf numFmtId="0" fontId="24" fillId="0" borderId="27" xfId="2" applyFont="1" applyBorder="1" applyAlignment="1">
      <alignment horizontal="center" vertical="center" wrapText="1"/>
    </xf>
    <xf numFmtId="0" fontId="24" fillId="0" borderId="28" xfId="2" applyFont="1" applyBorder="1" applyAlignment="1">
      <alignment horizontal="center" vertical="center" wrapText="1"/>
    </xf>
    <xf numFmtId="0" fontId="24" fillId="0" borderId="3" xfId="2" applyFont="1" applyBorder="1" applyAlignment="1">
      <alignment horizontal="center" vertical="center" wrapText="1"/>
    </xf>
    <xf numFmtId="0" fontId="24" fillId="0" borderId="2" xfId="2" applyFont="1" applyBorder="1" applyAlignment="1">
      <alignment horizontal="center" vertical="top" wrapText="1"/>
    </xf>
    <xf numFmtId="0" fontId="24" fillId="0" borderId="3" xfId="2" applyFont="1" applyBorder="1" applyAlignment="1">
      <alignment horizontal="center" vertical="top" wrapText="1"/>
    </xf>
    <xf numFmtId="0" fontId="24" fillId="0" borderId="18" xfId="2" applyFont="1" applyBorder="1" applyAlignment="1">
      <alignment horizontal="center" vertical="top" wrapText="1"/>
    </xf>
  </cellXfs>
  <cellStyles count="75">
    <cellStyle name="Comma" xfId="1" builtinId="3"/>
    <cellStyle name="Comma [0]" xfId="9" builtinId="6"/>
    <cellStyle name="Milliers [0] 2" xfId="14"/>
    <cellStyle name="Milliers [0] 2 2" xfId="29"/>
    <cellStyle name="Milliers [0] 2 2 2" xfId="57"/>
    <cellStyle name="Milliers [0] 2 3" xfId="43"/>
    <cellStyle name="Milliers [0] 2 4" xfId="73"/>
    <cellStyle name="Milliers [0] 3" xfId="63"/>
    <cellStyle name="Milliers 2" xfId="7"/>
    <cellStyle name="Milliers 4" xfId="4"/>
    <cellStyle name="Milliers 4 2" xfId="11"/>
    <cellStyle name="Milliers 4 2 2" xfId="26"/>
    <cellStyle name="Milliers 4 2 2 2" xfId="54"/>
    <cellStyle name="Milliers 4 2 3" xfId="40"/>
    <cellStyle name="Milliers 4 2 4" xfId="70"/>
    <cellStyle name="Milliers 4 3" xfId="18"/>
    <cellStyle name="Milliers 4 3 2" xfId="32"/>
    <cellStyle name="Milliers 4 3 2 2" xfId="60"/>
    <cellStyle name="Milliers 4 3 3" xfId="46"/>
    <cellStyle name="Milliers 4 4" xfId="22"/>
    <cellStyle name="Milliers 4 4 2" xfId="50"/>
    <cellStyle name="Milliers 4 5" xfId="36"/>
    <cellStyle name="Milliers 4 5 12" xfId="5"/>
    <cellStyle name="Milliers 4 5 12 2" xfId="12"/>
    <cellStyle name="Milliers 4 5 12 2 2" xfId="27"/>
    <cellStyle name="Milliers 4 5 12 2 2 2" xfId="55"/>
    <cellStyle name="Milliers 4 5 12 2 3" xfId="41"/>
    <cellStyle name="Milliers 4 5 12 2 4" xfId="71"/>
    <cellStyle name="Milliers 4 5 12 3" xfId="19"/>
    <cellStyle name="Milliers 4 5 12 3 2" xfId="33"/>
    <cellStyle name="Milliers 4 5 12 3 2 2" xfId="61"/>
    <cellStyle name="Milliers 4 5 12 3 3" xfId="47"/>
    <cellStyle name="Milliers 4 5 12 4" xfId="23"/>
    <cellStyle name="Milliers 4 5 12 4 2" xfId="51"/>
    <cellStyle name="Milliers 4 5 12 5" xfId="37"/>
    <cellStyle name="Milliers 4 5 12 6" xfId="67"/>
    <cellStyle name="Milliers 4 6" xfId="66"/>
    <cellStyle name="Modification" xfId="16"/>
    <cellStyle name="Modification 2" xfId="30"/>
    <cellStyle name="Modification 2 2" xfId="58"/>
    <cellStyle name="Modification 3" xfId="44"/>
    <cellStyle name="Modification 4" xfId="74"/>
    <cellStyle name="Normal" xfId="0" builtinId="0"/>
    <cellStyle name="Normal 2" xfId="2"/>
    <cellStyle name="Normal 2 2" xfId="10"/>
    <cellStyle name="Normal 2 2 2" xfId="25"/>
    <cellStyle name="Normal 2 2 2 2" xfId="53"/>
    <cellStyle name="Normal 2 2 3" xfId="39"/>
    <cellStyle name="Normal 2 2 4" xfId="69"/>
    <cellStyle name="Normal 2 3" xfId="17"/>
    <cellStyle name="Normal 2 3 2" xfId="31"/>
    <cellStyle name="Normal 2 3 2 2" xfId="59"/>
    <cellStyle name="Normal 2 3 3" xfId="45"/>
    <cellStyle name="Normal 2 4" xfId="21"/>
    <cellStyle name="Normal 2 4 2" xfId="49"/>
    <cellStyle name="Normal 2 5" xfId="35"/>
    <cellStyle name="Normal 2 6" xfId="65"/>
    <cellStyle name="Normal 6" xfId="15"/>
    <cellStyle name="Normal_BDE MAISON R+1 SAMBAVA 10 MARS 2006 (Refcd 11301D04GT04)" xfId="3"/>
    <cellStyle name="Normal_Xl0000001" xfId="6"/>
    <cellStyle name="Pourcentage 2" xfId="64"/>
    <cellStyle name="Style 1" xfId="8"/>
    <cellStyle name="Style 1 2" xfId="13"/>
    <cellStyle name="Style 1 2 2" xfId="28"/>
    <cellStyle name="Style 1 2 2 2" xfId="56"/>
    <cellStyle name="Style 1 2 3" xfId="42"/>
    <cellStyle name="Style 1 2 4" xfId="72"/>
    <cellStyle name="Style 1 3" xfId="20"/>
    <cellStyle name="Style 1 3 2" xfId="34"/>
    <cellStyle name="Style 1 3 2 2" xfId="62"/>
    <cellStyle name="Style 1 3 3" xfId="48"/>
    <cellStyle name="Style 1 4" xfId="24"/>
    <cellStyle name="Style 1 4 2" xfId="52"/>
    <cellStyle name="Style 1 5" xfId="38"/>
    <cellStyle name="Style 1 6" xfId="68"/>
  </cellStyles>
  <dxfs count="13"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-* #,##0.00\ _€_-;\-* #,##0.00\ _€_-;_-* &quot;-&quot;??\ _€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-* #,##0.00\ _€_-;\-* #,##0.00\ _€_-;_-* &quot;-&quot;??\ _€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_-* #,##0.00_-;\-* #,##0.00_-;_-* &quot;-&quot;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-* #,##0.00\ _€_-;\-* #,##0.00\ _€_-;_-* &quot;-&quot;??\ _€_-;_-@_-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-* #,##0.00\ _€_-;\-* #,##0.00\ _€_-;_-* &quot;-&quot;??\ _€_-;_-@_-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-* #,##0.00\ _€_-;\-* #,##0.00\ _€_-;_-* &quot;-&quot;??\ _€_-;_-@_-"/>
      <alignment horizontal="right" vertical="top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-* #,##0.00\ _€_-;\-* #,##0.00\ _€_-;_-* &quot;-&quot;??\ _€_-;_-@_-"/>
      <alignment horizontal="righ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-* #,##0.00\ _€_-;\-* #,##0.0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-* #,##0.00\ _€_-;\-* #,##0.00\ _€_-;_-* &quot;-&quot;??\ _€_-;_-@_-"/>
      <alignment horizontal="center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-* #,##0.00\ _€_-;\-* #,##0.00\ _€_-;_-* &quot;-&quot;??\ _€_-;_-@_-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none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137433</xdr:colOff>
      <xdr:row>0</xdr:row>
      <xdr:rowOff>122464</xdr:rowOff>
    </xdr:from>
    <xdr:to>
      <xdr:col>1</xdr:col>
      <xdr:colOff>518432</xdr:colOff>
      <xdr:row>6</xdr:row>
      <xdr:rowOff>19049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7433" y="122464"/>
          <a:ext cx="748392" cy="794656"/>
        </a:xfrm>
        <a:prstGeom prst="rect">
          <a:avLst/>
        </a:prstGeom>
        <a:noFill/>
      </xdr:spPr>
    </xdr:pic>
    <xdr:clientData/>
  </xdr:twoCellAnchor>
  <xdr:twoCellAnchor>
    <xdr:from>
      <xdr:col>1</xdr:col>
      <xdr:colOff>704850</xdr:colOff>
      <xdr:row>0</xdr:row>
      <xdr:rowOff>95250</xdr:rowOff>
    </xdr:from>
    <xdr:to>
      <xdr:col>15</xdr:col>
      <xdr:colOff>0</xdr:colOff>
      <xdr:row>6</xdr:row>
      <xdr:rowOff>33618</xdr:rowOff>
    </xdr:to>
    <xdr:grpSp>
      <xdr:nvGrpSpPr>
        <xdr:cNvPr id="3" name="Grou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090332" y="95250"/>
          <a:ext cx="11899527" cy="852768"/>
          <a:chOff x="735219" y="19706"/>
          <a:chExt cx="5678107" cy="839481"/>
        </a:xfrm>
      </xdr:grpSpPr>
      <xdr:sp macro="" textlink="">
        <xdr:nvSpPr>
          <xdr:cNvPr id="4" name="Text Box 5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86455" y="19706"/>
            <a:ext cx="1726871" cy="83948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0" tIns="45720" rIns="0" bIns="0" anchor="t" anchorCtr="0" upright="1">
            <a:noAutofit/>
          </a:bodyPr>
          <a:lstStyle/>
          <a:p>
            <a:pPr algn="ctr">
              <a:spcBef>
                <a:spcPts val="300"/>
              </a:spcBef>
              <a:spcAft>
                <a:spcPts val="300"/>
              </a:spcAft>
            </a:pPr>
            <a:endParaRPr lang="fr-FR" sz="800">
              <a:effectLst/>
              <a:latin typeface="Helvetica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spcBef>
                <a:spcPts val="300"/>
              </a:spcBef>
              <a:spcAft>
                <a:spcPts val="300"/>
              </a:spcAft>
            </a:pPr>
            <a:r>
              <a:rPr lang="fr-FR" sz="80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BORDEREAU</a:t>
            </a:r>
            <a:r>
              <a:rPr lang="fr-FR" sz="800" baseline="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DE DETAIL QUANTITATIF </a:t>
            </a:r>
          </a:p>
          <a:p>
            <a:pPr algn="ctr">
              <a:spcBef>
                <a:spcPts val="300"/>
              </a:spcBef>
              <a:spcAft>
                <a:spcPts val="300"/>
              </a:spcAft>
            </a:pPr>
            <a:r>
              <a:rPr lang="fr-FR" sz="800" baseline="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BDQ/ 13 10 23</a:t>
            </a:r>
            <a:endParaRPr lang="fr-FR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5" name="Grou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pSpPr/>
        </xdr:nvGrpSpPr>
        <xdr:grpSpPr>
          <a:xfrm>
            <a:off x="735219" y="19707"/>
            <a:ext cx="3961338" cy="839480"/>
            <a:chOff x="735725" y="19707"/>
            <a:chExt cx="3961338" cy="839732"/>
          </a:xfrm>
        </xdr:grpSpPr>
        <xdr:sp macro="" textlink="">
          <xdr:nvSpPr>
            <xdr:cNvPr id="6" name="Text Box 4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35725" y="19707"/>
              <a:ext cx="1596512" cy="8397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36000" tIns="36000" rIns="36000" bIns="3600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Document externe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12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Version : S0             Révision : F0 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</a:p>
          </xdr:txBody>
        </xdr:sp>
        <xdr:sp macro="" textlink="">
          <xdr:nvSpPr>
            <xdr:cNvPr id="7" name="Text 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331982" y="19707"/>
              <a:ext cx="2365081" cy="8397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0" tIns="45720" rIns="0" bIns="0" anchor="ctr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800" b="1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FIRM &amp; ARCHITECTURE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algn="ctr">
                <a:spcAft>
                  <a:spcPts val="0"/>
                </a:spcAft>
              </a:pPr>
              <a:endParaRPr lang="fr-FR" sz="80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algn="ctr"/>
              <a:r>
                <a:rPr lang="fr-FR" sz="1100">
                  <a:effectLst/>
                  <a:latin typeface="+mn-lt"/>
                  <a:ea typeface="+mn-ea"/>
                  <a:cs typeface="+mn-cs"/>
                </a:rPr>
                <a:t>SCIM TAMATAVE</a:t>
              </a:r>
              <a:r>
                <a:rPr lang="fr-FR" sz="1100" baseline="0">
                  <a:effectLst/>
                  <a:latin typeface="+mn-lt"/>
                  <a:ea typeface="+mn-ea"/>
                  <a:cs typeface="+mn-cs"/>
                </a:rPr>
                <a:t> - NOUVELLE CONSTRUCTION D'UN IMMEUBLE R+3</a:t>
              </a:r>
              <a:endParaRPr lang="fr-MG" sz="800">
                <a:effectLst/>
              </a:endParaRPr>
            </a:p>
            <a:p>
              <a:pPr algn="ctr">
                <a:spcAft>
                  <a:spcPts val="0"/>
                </a:spcAft>
              </a:pPr>
              <a:r>
                <a:rPr lang="fr-FR" sz="1000" b="1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algn="ctr">
                <a:spcAft>
                  <a:spcPts val="0"/>
                </a:spcAft>
              </a:pPr>
              <a:r>
                <a:rPr lang="fr-FR" sz="10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8" name="Connecteur droit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CxnSpPr/>
          </xdr:nvCxnSpPr>
          <xdr:spPr>
            <a:xfrm flipV="1">
              <a:off x="2331983" y="219868"/>
              <a:ext cx="2357754" cy="3477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1704977</xdr:colOff>
      <xdr:row>251</xdr:row>
      <xdr:rowOff>9524</xdr:rowOff>
    </xdr:from>
    <xdr:to>
      <xdr:col>1</xdr:col>
      <xdr:colOff>2247901</xdr:colOff>
      <xdr:row>252</xdr:row>
      <xdr:rowOff>18236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57452" y="164249099"/>
          <a:ext cx="542924" cy="523062"/>
        </a:xfrm>
        <a:prstGeom prst="rect">
          <a:avLst/>
        </a:prstGeom>
        <a:noFill/>
      </xdr:spPr>
    </xdr:pic>
    <xdr:clientData/>
  </xdr:twoCellAnchor>
  <xdr:twoCellAnchor>
    <xdr:from>
      <xdr:col>1</xdr:col>
      <xdr:colOff>555762</xdr:colOff>
      <xdr:row>0</xdr:row>
      <xdr:rowOff>53836</xdr:rowOff>
    </xdr:from>
    <xdr:to>
      <xdr:col>6</xdr:col>
      <xdr:colOff>1033097</xdr:colOff>
      <xdr:row>7</xdr:row>
      <xdr:rowOff>87922</xdr:rowOff>
    </xdr:to>
    <xdr:grpSp>
      <xdr:nvGrpSpPr>
        <xdr:cNvPr id="3" name="Grou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1333975" y="53836"/>
          <a:ext cx="8535079" cy="1136554"/>
          <a:chOff x="735219" y="19706"/>
          <a:chExt cx="5678107" cy="839481"/>
        </a:xfrm>
      </xdr:grpSpPr>
      <xdr:sp macro="" textlink="">
        <xdr:nvSpPr>
          <xdr:cNvPr id="4" name="Text Box 5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86455" y="19706"/>
            <a:ext cx="1726871" cy="83948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0" tIns="45720" rIns="0" bIns="0" anchor="t" anchorCtr="0" upright="1">
            <a:noAutofit/>
          </a:bodyPr>
          <a:lstStyle/>
          <a:p>
            <a:pPr algn="ctr">
              <a:spcBef>
                <a:spcPts val="300"/>
              </a:spcBef>
              <a:spcAft>
                <a:spcPts val="300"/>
              </a:spcAft>
            </a:pPr>
            <a:endParaRPr lang="fr-FR" sz="800">
              <a:effectLst/>
              <a:latin typeface="Helvetica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spcBef>
                <a:spcPts val="300"/>
              </a:spcBef>
              <a:spcAft>
                <a:spcPts val="300"/>
              </a:spcAft>
            </a:pPr>
            <a:r>
              <a:rPr lang="fr-FR" sz="80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BORDEREAU</a:t>
            </a:r>
            <a:r>
              <a:rPr lang="fr-FR" sz="800" baseline="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DE DETAIL QUANTITATIF </a:t>
            </a:r>
          </a:p>
          <a:p>
            <a:pPr algn="ctr">
              <a:spcBef>
                <a:spcPts val="300"/>
              </a:spcBef>
              <a:spcAft>
                <a:spcPts val="300"/>
              </a:spcAft>
            </a:pPr>
            <a:r>
              <a:rPr lang="fr-FR" sz="1100" baseline="0">
                <a:effectLst/>
                <a:latin typeface="+mn-lt"/>
                <a:ea typeface="+mn-ea"/>
                <a:cs typeface="+mn-cs"/>
              </a:rPr>
              <a:t>BDQ/</a:t>
            </a:r>
            <a:r>
              <a:rPr lang="fr-FR" sz="800" baseline="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GO-SO / 07 11 23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300"/>
              </a:spcBef>
              <a:spcAft>
                <a:spcPts val="30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effectLst/>
                <a:latin typeface="+mn-lt"/>
                <a:ea typeface="+mn-ea"/>
                <a:cs typeface="+mn-cs"/>
              </a:rPr>
              <a:t>F&amp;A/BE/SC/LNR</a:t>
            </a:r>
            <a:endParaRPr lang="fr-MG" sz="1100">
              <a:effectLst/>
              <a:latin typeface="+mn-lt"/>
              <a:ea typeface="+mn-ea"/>
              <a:cs typeface="+mn-cs"/>
            </a:endParaRPr>
          </a:p>
          <a:p>
            <a:pPr algn="ctr">
              <a:spcBef>
                <a:spcPts val="300"/>
              </a:spcBef>
              <a:spcAft>
                <a:spcPts val="300"/>
              </a:spcAft>
            </a:pPr>
            <a:endParaRPr lang="fr-FR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5" name="Group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pSpPr/>
        </xdr:nvGrpSpPr>
        <xdr:grpSpPr>
          <a:xfrm>
            <a:off x="735219" y="19707"/>
            <a:ext cx="3961338" cy="839480"/>
            <a:chOff x="735725" y="19707"/>
            <a:chExt cx="3961338" cy="839732"/>
          </a:xfrm>
        </xdr:grpSpPr>
        <xdr:sp macro="" textlink="">
          <xdr:nvSpPr>
            <xdr:cNvPr id="6" name="Text Box 4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35725" y="19707"/>
              <a:ext cx="1596512" cy="8397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36000" tIns="36000" rIns="36000" bIns="3600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endParaRPr lang="fr-FR" sz="80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Document externe</a:t>
              </a:r>
            </a:p>
            <a:p>
              <a:pPr>
                <a:spcAft>
                  <a:spcPts val="0"/>
                </a:spcAft>
              </a:pPr>
              <a:endParaRPr lang="fr-FR" sz="80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12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Version : S0             Révision : F0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</a:p>
          </xdr:txBody>
        </xdr:sp>
        <xdr:sp macro="" textlink="">
          <xdr:nvSpPr>
            <xdr:cNvPr id="7" name="Text 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331982" y="19707"/>
              <a:ext cx="2365081" cy="8397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0" tIns="45720" rIns="0" bIns="0" anchor="ctr" anchorCtr="0" upright="1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effectLst/>
                  <a:latin typeface="+mn-lt"/>
                  <a:ea typeface="+mn-ea"/>
                  <a:cs typeface="+mn-cs"/>
                </a:rPr>
                <a:t>FIRM &amp; ARCHITECTURE</a:t>
              </a:r>
              <a:endParaRPr lang="fr-MG" sz="800">
                <a:effectLst/>
              </a:endParaRPr>
            </a:p>
            <a:p>
              <a:pPr algn="ctr">
                <a:spcAft>
                  <a:spcPts val="0"/>
                </a:spcAft>
              </a:pPr>
              <a:endParaRPr lang="en-US" sz="800" b="1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algn="ctr">
                <a:spcAft>
                  <a:spcPts val="0"/>
                </a:spcAft>
              </a:pPr>
              <a:endParaRPr lang="fr-FR" sz="80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algn="ctr"/>
              <a:r>
                <a:rPr lang="fr-FR" sz="1100">
                  <a:effectLst/>
                  <a:latin typeface="+mn-lt"/>
                  <a:ea typeface="+mn-ea"/>
                  <a:cs typeface="+mn-cs"/>
                </a:rPr>
                <a:t>SCIM TAMATAVE</a:t>
              </a:r>
              <a:r>
                <a:rPr lang="fr-FR" sz="1100" baseline="0">
                  <a:effectLst/>
                  <a:latin typeface="+mn-lt"/>
                  <a:ea typeface="+mn-ea"/>
                  <a:cs typeface="+mn-cs"/>
                </a:rPr>
                <a:t> - NOUVELLE CONSTRUCTION D'UN IMMEUBLE R+3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algn="ctr">
                <a:spcAft>
                  <a:spcPts val="0"/>
                </a:spcAft>
              </a:pPr>
              <a:r>
                <a:rPr lang="fr-FR" sz="10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8" name="Connecteur droit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CxnSpPr/>
          </xdr:nvCxnSpPr>
          <xdr:spPr>
            <a:xfrm flipV="1">
              <a:off x="2331983" y="319011"/>
              <a:ext cx="2357754" cy="3477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504825</xdr:colOff>
      <xdr:row>250</xdr:row>
      <xdr:rowOff>38100</xdr:rowOff>
    </xdr:from>
    <xdr:to>
      <xdr:col>1</xdr:col>
      <xdr:colOff>1066800</xdr:colOff>
      <xdr:row>252</xdr:row>
      <xdr:rowOff>132038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C554812E-3D09-39A2-1B86-4AACC44B6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164125275"/>
          <a:ext cx="1314450" cy="7473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57149</xdr:rowOff>
    </xdr:from>
    <xdr:to>
      <xdr:col>1</xdr:col>
      <xdr:colOff>438150</xdr:colOff>
      <xdr:row>7</xdr:row>
      <xdr:rowOff>76200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DE72CAB-146B-4139-88D3-78D412370FA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101" y="57149"/>
          <a:ext cx="1152524" cy="1114426"/>
        </a:xfrm>
        <a:prstGeom prst="rect">
          <a:avLst/>
        </a:prstGeom>
        <a:noFill/>
      </xdr:spPr>
    </xdr:pic>
    <xdr:clientData/>
  </xdr:twoCellAnchor>
  <xdr:twoCellAnchor>
    <xdr:from>
      <xdr:col>1</xdr:col>
      <xdr:colOff>555762</xdr:colOff>
      <xdr:row>0</xdr:row>
      <xdr:rowOff>53836</xdr:rowOff>
    </xdr:from>
    <xdr:to>
      <xdr:col>5</xdr:col>
      <xdr:colOff>1033097</xdr:colOff>
      <xdr:row>7</xdr:row>
      <xdr:rowOff>87922</xdr:rowOff>
    </xdr:to>
    <xdr:grpSp>
      <xdr:nvGrpSpPr>
        <xdr:cNvPr id="3" name="Groupe 2">
          <a:extLst>
            <a:ext uri="{FF2B5EF4-FFF2-40B4-BE49-F238E27FC236}">
              <a16:creationId xmlns:a16="http://schemas.microsoft.com/office/drawing/2014/main" id="{1AB7493A-E528-4FFF-8E0A-6C4B0C7B62A5}"/>
            </a:ext>
          </a:extLst>
        </xdr:cNvPr>
        <xdr:cNvGrpSpPr/>
      </xdr:nvGrpSpPr>
      <xdr:grpSpPr>
        <a:xfrm>
          <a:off x="1337053" y="53836"/>
          <a:ext cx="7393209" cy="1133681"/>
          <a:chOff x="735219" y="19706"/>
          <a:chExt cx="5678107" cy="839481"/>
        </a:xfrm>
      </xdr:grpSpPr>
      <xdr:sp macro="" textlink="">
        <xdr:nvSpPr>
          <xdr:cNvPr id="4" name="Text Box 5">
            <a:extLst>
              <a:ext uri="{FF2B5EF4-FFF2-40B4-BE49-F238E27FC236}">
                <a16:creationId xmlns:a16="http://schemas.microsoft.com/office/drawing/2014/main" id="{C8EEC9C1-1608-A271-78E8-9F88BE1E8961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86455" y="19706"/>
            <a:ext cx="1726871" cy="83948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0" tIns="45720" rIns="0" bIns="0" anchor="t" anchorCtr="0" upright="1">
            <a:noAutofit/>
          </a:bodyPr>
          <a:lstStyle/>
          <a:p>
            <a:pPr algn="ctr">
              <a:spcBef>
                <a:spcPts val="300"/>
              </a:spcBef>
              <a:spcAft>
                <a:spcPts val="300"/>
              </a:spcAft>
            </a:pPr>
            <a:endParaRPr lang="fr-FR" sz="800">
              <a:effectLst/>
              <a:latin typeface="Helvetica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spcBef>
                <a:spcPts val="300"/>
              </a:spcBef>
              <a:spcAft>
                <a:spcPts val="300"/>
              </a:spcAft>
            </a:pPr>
            <a:r>
              <a:rPr lang="fr-FR" sz="80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BORDEREAU</a:t>
            </a:r>
            <a:r>
              <a:rPr lang="fr-FR" sz="800" baseline="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DE DETAIL QUANTITATIF </a:t>
            </a:r>
          </a:p>
          <a:p>
            <a:pPr algn="ctr">
              <a:spcBef>
                <a:spcPts val="300"/>
              </a:spcBef>
              <a:spcAft>
                <a:spcPts val="300"/>
              </a:spcAft>
            </a:pPr>
            <a:r>
              <a:rPr lang="fr-FR" sz="1100" baseline="0">
                <a:effectLst/>
                <a:latin typeface="+mn-lt"/>
                <a:ea typeface="+mn-ea"/>
                <a:cs typeface="+mn-cs"/>
              </a:rPr>
              <a:t>BDQ/</a:t>
            </a:r>
            <a:r>
              <a:rPr lang="fr-FR" sz="800" baseline="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GO-SO / 07 11 23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300"/>
              </a:spcBef>
              <a:spcAft>
                <a:spcPts val="30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effectLst/>
                <a:latin typeface="+mn-lt"/>
                <a:ea typeface="+mn-ea"/>
                <a:cs typeface="+mn-cs"/>
              </a:rPr>
              <a:t>F&amp;A/BE/SC/LNR</a:t>
            </a:r>
            <a:endParaRPr lang="fr-MG" sz="1100">
              <a:effectLst/>
              <a:latin typeface="+mn-lt"/>
              <a:ea typeface="+mn-ea"/>
              <a:cs typeface="+mn-cs"/>
            </a:endParaRPr>
          </a:p>
          <a:p>
            <a:pPr algn="ctr">
              <a:spcBef>
                <a:spcPts val="300"/>
              </a:spcBef>
              <a:spcAft>
                <a:spcPts val="300"/>
              </a:spcAft>
            </a:pPr>
            <a:endParaRPr lang="fr-FR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5" name="Groupe 4">
            <a:extLst>
              <a:ext uri="{FF2B5EF4-FFF2-40B4-BE49-F238E27FC236}">
                <a16:creationId xmlns:a16="http://schemas.microsoft.com/office/drawing/2014/main" id="{2144CEC1-B021-1772-BE24-EF502734A00C}"/>
              </a:ext>
            </a:extLst>
          </xdr:cNvPr>
          <xdr:cNvGrpSpPr/>
        </xdr:nvGrpSpPr>
        <xdr:grpSpPr>
          <a:xfrm>
            <a:off x="735219" y="19707"/>
            <a:ext cx="3961338" cy="839480"/>
            <a:chOff x="735725" y="19707"/>
            <a:chExt cx="3961338" cy="839732"/>
          </a:xfrm>
        </xdr:grpSpPr>
        <xdr:sp macro="" textlink="">
          <xdr:nvSpPr>
            <xdr:cNvPr id="6" name="Text Box 4">
              <a:extLst>
                <a:ext uri="{FF2B5EF4-FFF2-40B4-BE49-F238E27FC236}">
                  <a16:creationId xmlns:a16="http://schemas.microsoft.com/office/drawing/2014/main" id="{F4512392-CA57-E0F7-992C-EB521F10FA86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35725" y="19707"/>
              <a:ext cx="1596512" cy="8397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36000" tIns="36000" rIns="36000" bIns="3600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endParaRPr lang="fr-FR" sz="80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Document externe</a:t>
              </a:r>
            </a:p>
            <a:p>
              <a:pPr>
                <a:spcAft>
                  <a:spcPts val="0"/>
                </a:spcAft>
              </a:pPr>
              <a:endParaRPr lang="fr-FR" sz="80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12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Version : S0             Révision : F0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</a:p>
          </xdr:txBody>
        </xdr:sp>
        <xdr:sp macro="" textlink="">
          <xdr:nvSpPr>
            <xdr:cNvPr id="7" name="Text Box 6">
              <a:extLst>
                <a:ext uri="{FF2B5EF4-FFF2-40B4-BE49-F238E27FC236}">
                  <a16:creationId xmlns:a16="http://schemas.microsoft.com/office/drawing/2014/main" id="{BA77425B-8FD4-16FD-A386-3A85B35FAF6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331982" y="19707"/>
              <a:ext cx="2365081" cy="8397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0" tIns="45720" rIns="0" bIns="0" anchor="ctr" anchorCtr="0" upright="1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effectLst/>
                  <a:latin typeface="+mn-lt"/>
                  <a:ea typeface="+mn-ea"/>
                  <a:cs typeface="+mn-cs"/>
                </a:rPr>
                <a:t>FIRM &amp; ARCHITECTURE</a:t>
              </a:r>
              <a:endParaRPr lang="fr-MG" sz="800">
                <a:effectLst/>
              </a:endParaRPr>
            </a:p>
            <a:p>
              <a:pPr algn="ctr">
                <a:spcAft>
                  <a:spcPts val="0"/>
                </a:spcAft>
              </a:pPr>
              <a:endParaRPr lang="en-US" sz="800" b="1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algn="ctr">
                <a:spcAft>
                  <a:spcPts val="0"/>
                </a:spcAft>
              </a:pPr>
              <a:endParaRPr lang="fr-FR" sz="80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algn="ctr"/>
              <a:r>
                <a:rPr lang="fr-FR" sz="1100">
                  <a:effectLst/>
                  <a:latin typeface="+mn-lt"/>
                  <a:ea typeface="+mn-ea"/>
                  <a:cs typeface="+mn-cs"/>
                </a:rPr>
                <a:t>SCIM TAMATAVE</a:t>
              </a:r>
              <a:r>
                <a:rPr lang="fr-FR" sz="1100" baseline="0">
                  <a:effectLst/>
                  <a:latin typeface="+mn-lt"/>
                  <a:ea typeface="+mn-ea"/>
                  <a:cs typeface="+mn-cs"/>
                </a:rPr>
                <a:t> - NOUVELLE CONSTRUCTION D'UN IMMEUBLE R+3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algn="ctr">
                <a:spcAft>
                  <a:spcPts val="0"/>
                </a:spcAft>
              </a:pPr>
              <a:r>
                <a:rPr lang="fr-FR" sz="10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8" name="Connecteur droit 7">
              <a:extLst>
                <a:ext uri="{FF2B5EF4-FFF2-40B4-BE49-F238E27FC236}">
                  <a16:creationId xmlns:a16="http://schemas.microsoft.com/office/drawing/2014/main" id="{5A3A32D6-B865-A7AA-F283-67E805D93455}"/>
                </a:ext>
              </a:extLst>
            </xdr:cNvPr>
            <xdr:cNvCxnSpPr/>
          </xdr:nvCxnSpPr>
          <xdr:spPr>
            <a:xfrm flipV="1">
              <a:off x="2331983" y="319011"/>
              <a:ext cx="2357754" cy="3477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harison\G\H\Bastide\Education%20III\Lot%20N&#176;31\BDERemiBarr-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harison\G\H\Office%20Engineering\F.I.D\Tul&#233;ar\Man-Antr-Tsi-Bea-Trano\DAO\ManomMetre-SSd-BDE-Pl-MAT-Mo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harison\G\Volumes\ARCHIVE%20(K)\PROJET%202011\DOSSIER%20METRE\IMPOT%20DIEGO\Firm8\archive%20firm\Projet\SHERRITT\SHERRITT%20CONSTRUCTION%20O.N%20%20ASS%20019\dossier%20m&#232;re\DOSSIER%20EXCEL\Bianco%20Mahajanga%20I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S DETAIL "/>
      <sheetName val="BDE DENTISTERIE NOUV"/>
      <sheetName val="Fosse"/>
      <sheetName val="PRIX D'APPRO"/>
      <sheetName val="Amort materiel"/>
      <sheetName val="soudet "/>
      <sheetName val="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5">
          <cell r="H75">
            <v>1875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rt materiel"/>
      <sheetName val="BDEepp manombo"/>
      <sheetName val="soudet "/>
      <sheetName val="Metre"/>
      <sheetName val="LATRINE"/>
      <sheetName val="Mat et MoEPP "/>
      <sheetName val="BDEepp DAO"/>
      <sheetName val="LATRINEDAO"/>
    </sheetNames>
    <sheetDataSet>
      <sheetData sheetId="0">
        <row r="76">
          <cell r="H76">
            <v>1875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etail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4" name="Tableau82425" displayName="Tableau82425" ref="A12:G249" totalsRowShown="0" headerRowDxfId="12" dataDxfId="11">
  <autoFilter ref="A12:G249"/>
  <tableColumns count="7">
    <tableColumn id="1" name="N°" dataDxfId="10" totalsRowDxfId="9"/>
    <tableColumn id="2" name="DESIGNATION DES TRAVAUX" dataDxfId="8" totalsRowDxfId="7"/>
    <tableColumn id="5" name="CONCERNE" dataDxfId="6" totalsRowDxfId="5"/>
    <tableColumn id="4" name="UNITE" dataDxfId="4" totalsRowDxfId="3"/>
    <tableColumn id="3" name="QUANTITE" dataDxfId="2"/>
    <tableColumn id="9" name="PRIX UNITAIRE (Ar)" dataDxfId="1"/>
    <tableColumn id="10" name="MONTANT (Ar)" dataDxfId="0">
      <calculatedColumnFormula>+Tableau82425[[#This Row],[PRIX UNITAIRE (Ar)]]*Tableau82425[[#This Row],[QUANTITE]]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31"/>
  <sheetViews>
    <sheetView topLeftCell="A3" workbookViewId="0">
      <selection activeCell="A12" sqref="A12"/>
    </sheetView>
  </sheetViews>
  <sheetFormatPr defaultColWidth="11.5546875" defaultRowHeight="13.2" x14ac:dyDescent="0.25"/>
  <cols>
    <col min="1" max="1" width="29.6640625" style="206" customWidth="1"/>
    <col min="2" max="2" width="14.109375" style="207" bestFit="1" customWidth="1"/>
    <col min="3" max="3" width="8" style="207" bestFit="1" customWidth="1"/>
    <col min="4" max="4" width="8.44140625" style="207" bestFit="1" customWidth="1"/>
    <col min="5" max="6" width="11.44140625" style="207"/>
    <col min="7" max="7" width="11.109375" style="206" bestFit="1" customWidth="1"/>
    <col min="8" max="8" width="7.44140625" customWidth="1"/>
    <col min="11" max="11" width="13.6640625" customWidth="1"/>
    <col min="12" max="18" width="9.6640625" customWidth="1"/>
    <col min="19" max="19" width="9.6640625" bestFit="1" customWidth="1"/>
  </cols>
  <sheetData>
    <row r="6" spans="1:7" x14ac:dyDescent="0.25">
      <c r="A6" s="204" t="s">
        <v>290</v>
      </c>
      <c r="B6" s="205" t="s">
        <v>106</v>
      </c>
      <c r="C6" s="205" t="s">
        <v>107</v>
      </c>
      <c r="D6" s="205" t="s">
        <v>204</v>
      </c>
      <c r="E6" s="205" t="s">
        <v>205</v>
      </c>
      <c r="F6" s="205" t="s">
        <v>291</v>
      </c>
      <c r="G6" s="205" t="s">
        <v>92</v>
      </c>
    </row>
    <row r="7" spans="1:7" x14ac:dyDescent="0.25">
      <c r="A7" s="206" t="s">
        <v>428</v>
      </c>
      <c r="B7" s="207">
        <v>19</v>
      </c>
      <c r="C7" s="207">
        <v>17</v>
      </c>
      <c r="D7" s="207">
        <v>20</v>
      </c>
      <c r="F7" s="205">
        <f>+SUM(B7:E7)</f>
        <v>56</v>
      </c>
      <c r="G7" s="207"/>
    </row>
    <row r="8" spans="1:7" x14ac:dyDescent="0.25">
      <c r="A8" s="206" t="s">
        <v>429</v>
      </c>
      <c r="B8" s="207">
        <v>3</v>
      </c>
      <c r="C8" s="207">
        <v>3</v>
      </c>
      <c r="D8" s="207">
        <v>3</v>
      </c>
      <c r="F8" s="205">
        <f t="shared" ref="F8:F31" si="0">+SUM(B8:E8)</f>
        <v>9</v>
      </c>
      <c r="G8" s="207"/>
    </row>
    <row r="9" spans="1:7" x14ac:dyDescent="0.25">
      <c r="A9" s="206" t="s">
        <v>449</v>
      </c>
      <c r="C9" s="207">
        <v>2</v>
      </c>
      <c r="D9" s="207">
        <v>8</v>
      </c>
      <c r="F9" s="205">
        <f t="shared" si="0"/>
        <v>10</v>
      </c>
      <c r="G9" s="207"/>
    </row>
    <row r="10" spans="1:7" x14ac:dyDescent="0.25">
      <c r="A10" s="206" t="s">
        <v>430</v>
      </c>
      <c r="B10" s="207">
        <v>1</v>
      </c>
      <c r="C10" s="207">
        <v>4</v>
      </c>
      <c r="D10" s="207">
        <v>6</v>
      </c>
      <c r="F10" s="205">
        <f t="shared" si="0"/>
        <v>11</v>
      </c>
      <c r="G10" s="207"/>
    </row>
    <row r="11" spans="1:7" x14ac:dyDescent="0.25">
      <c r="A11" s="206" t="s">
        <v>427</v>
      </c>
      <c r="B11" s="207">
        <v>19</v>
      </c>
      <c r="C11" s="207">
        <v>23</v>
      </c>
      <c r="D11" s="207">
        <v>22</v>
      </c>
      <c r="F11" s="205">
        <f t="shared" si="0"/>
        <v>64</v>
      </c>
    </row>
    <row r="12" spans="1:7" x14ac:dyDescent="0.25">
      <c r="A12" s="206" t="s">
        <v>450</v>
      </c>
      <c r="B12" s="207">
        <v>0</v>
      </c>
      <c r="C12" s="207">
        <v>0</v>
      </c>
      <c r="D12" s="207">
        <v>1</v>
      </c>
      <c r="F12" s="205">
        <f t="shared" si="0"/>
        <v>1</v>
      </c>
    </row>
    <row r="13" spans="1:7" x14ac:dyDescent="0.25">
      <c r="A13" s="206" t="s">
        <v>431</v>
      </c>
      <c r="B13" s="207">
        <v>14</v>
      </c>
      <c r="D13" s="207">
        <v>7</v>
      </c>
      <c r="F13" s="205">
        <f t="shared" si="0"/>
        <v>21</v>
      </c>
    </row>
    <row r="14" spans="1:7" x14ac:dyDescent="0.25">
      <c r="A14" s="206" t="s">
        <v>447</v>
      </c>
      <c r="B14" s="207">
        <v>4</v>
      </c>
      <c r="C14" s="207">
        <v>1</v>
      </c>
      <c r="D14" s="207">
        <v>2</v>
      </c>
      <c r="F14" s="205">
        <f t="shared" si="0"/>
        <v>7</v>
      </c>
    </row>
    <row r="15" spans="1:7" x14ac:dyDescent="0.25">
      <c r="A15" s="206" t="s">
        <v>432</v>
      </c>
      <c r="B15" s="207">
        <v>8</v>
      </c>
      <c r="C15" s="207">
        <v>6</v>
      </c>
      <c r="D15" s="207">
        <v>5</v>
      </c>
      <c r="F15" s="205">
        <f t="shared" si="0"/>
        <v>19</v>
      </c>
    </row>
    <row r="16" spans="1:7" x14ac:dyDescent="0.25">
      <c r="A16" s="206" t="s">
        <v>433</v>
      </c>
      <c r="B16" s="207">
        <v>2</v>
      </c>
      <c r="C16" s="207">
        <v>2</v>
      </c>
      <c r="D16" s="207">
        <v>2</v>
      </c>
      <c r="F16" s="205">
        <f t="shared" si="0"/>
        <v>6</v>
      </c>
    </row>
    <row r="17" spans="1:6" x14ac:dyDescent="0.25">
      <c r="A17" s="206" t="s">
        <v>451</v>
      </c>
      <c r="D17" s="207">
        <v>4</v>
      </c>
      <c r="F17" s="205">
        <f t="shared" si="0"/>
        <v>4</v>
      </c>
    </row>
    <row r="18" spans="1:6" x14ac:dyDescent="0.25">
      <c r="A18" s="206" t="s">
        <v>434</v>
      </c>
      <c r="B18" s="207">
        <v>3</v>
      </c>
      <c r="C18" s="207">
        <v>3</v>
      </c>
      <c r="D18" s="207">
        <v>3</v>
      </c>
      <c r="F18" s="205">
        <f t="shared" si="0"/>
        <v>9</v>
      </c>
    </row>
    <row r="19" spans="1:6" x14ac:dyDescent="0.25">
      <c r="A19" s="206" t="s">
        <v>435</v>
      </c>
      <c r="B19" s="207">
        <v>2</v>
      </c>
      <c r="C19" s="207">
        <v>4</v>
      </c>
      <c r="D19" s="207">
        <v>2</v>
      </c>
      <c r="F19" s="205">
        <f t="shared" si="0"/>
        <v>8</v>
      </c>
    </row>
    <row r="20" spans="1:6" x14ac:dyDescent="0.25">
      <c r="A20" s="206" t="s">
        <v>436</v>
      </c>
      <c r="B20" s="207">
        <v>14</v>
      </c>
      <c r="C20" s="207">
        <v>18</v>
      </c>
      <c r="F20" s="205">
        <f t="shared" si="0"/>
        <v>32</v>
      </c>
    </row>
    <row r="21" spans="1:6" x14ac:dyDescent="0.25">
      <c r="A21" s="206" t="s">
        <v>437</v>
      </c>
      <c r="B21" s="207">
        <v>4</v>
      </c>
      <c r="C21" s="207">
        <v>1</v>
      </c>
      <c r="F21" s="205">
        <f t="shared" si="0"/>
        <v>5</v>
      </c>
    </row>
    <row r="22" spans="1:6" x14ac:dyDescent="0.25">
      <c r="A22" s="206" t="s">
        <v>438</v>
      </c>
      <c r="B22" s="207">
        <v>3</v>
      </c>
      <c r="D22" s="207">
        <v>3</v>
      </c>
      <c r="F22" s="205">
        <f t="shared" si="0"/>
        <v>6</v>
      </c>
    </row>
    <row r="23" spans="1:6" x14ac:dyDescent="0.25">
      <c r="A23" s="206" t="s">
        <v>439</v>
      </c>
      <c r="B23" s="207">
        <v>5</v>
      </c>
      <c r="C23" s="207">
        <v>9</v>
      </c>
      <c r="F23" s="205">
        <f t="shared" si="0"/>
        <v>14</v>
      </c>
    </row>
    <row r="24" spans="1:6" x14ac:dyDescent="0.25">
      <c r="A24" s="206" t="s">
        <v>440</v>
      </c>
      <c r="B24" s="207">
        <v>10</v>
      </c>
      <c r="C24" s="207">
        <v>13</v>
      </c>
      <c r="F24" s="205">
        <f t="shared" si="0"/>
        <v>23</v>
      </c>
    </row>
    <row r="25" spans="1:6" x14ac:dyDescent="0.25">
      <c r="A25" s="206" t="s">
        <v>441</v>
      </c>
      <c r="B25" s="207">
        <v>2</v>
      </c>
      <c r="C25" s="207">
        <v>1</v>
      </c>
      <c r="F25" s="205">
        <f t="shared" si="0"/>
        <v>3</v>
      </c>
    </row>
    <row r="26" spans="1:6" x14ac:dyDescent="0.25">
      <c r="A26" s="206" t="s">
        <v>442</v>
      </c>
      <c r="F26" s="205">
        <f t="shared" si="0"/>
        <v>0</v>
      </c>
    </row>
    <row r="27" spans="1:6" x14ac:dyDescent="0.25">
      <c r="A27" s="206" t="s">
        <v>443</v>
      </c>
      <c r="B27" s="207">
        <v>4</v>
      </c>
      <c r="C27" s="207">
        <v>1</v>
      </c>
      <c r="F27" s="205">
        <f t="shared" si="0"/>
        <v>5</v>
      </c>
    </row>
    <row r="28" spans="1:6" x14ac:dyDescent="0.25">
      <c r="A28" s="206" t="s">
        <v>444</v>
      </c>
      <c r="B28" s="207">
        <v>1</v>
      </c>
      <c r="F28" s="205">
        <f t="shared" si="0"/>
        <v>1</v>
      </c>
    </row>
    <row r="29" spans="1:6" x14ac:dyDescent="0.25">
      <c r="A29" s="206" t="s">
        <v>445</v>
      </c>
      <c r="B29" s="207">
        <v>1</v>
      </c>
      <c r="F29" s="205">
        <f t="shared" si="0"/>
        <v>1</v>
      </c>
    </row>
    <row r="30" spans="1:6" x14ac:dyDescent="0.25">
      <c r="A30" s="206" t="s">
        <v>446</v>
      </c>
      <c r="B30" s="207">
        <v>1</v>
      </c>
      <c r="F30" s="205">
        <f t="shared" si="0"/>
        <v>1</v>
      </c>
    </row>
    <row r="31" spans="1:6" x14ac:dyDescent="0.25">
      <c r="A31" s="206" t="s">
        <v>448</v>
      </c>
      <c r="B31" s="207">
        <v>1</v>
      </c>
      <c r="C31" s="207">
        <v>1</v>
      </c>
      <c r="D31" s="207">
        <v>1</v>
      </c>
      <c r="F31" s="205">
        <f t="shared" si="0"/>
        <v>3</v>
      </c>
    </row>
  </sheetData>
  <phoneticPr fontId="4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1"/>
  <sheetViews>
    <sheetView workbookViewId="0">
      <selection activeCell="E39" sqref="E39"/>
    </sheetView>
  </sheetViews>
  <sheetFormatPr defaultColWidth="11.5546875" defaultRowHeight="13.2" x14ac:dyDescent="0.25"/>
  <cols>
    <col min="1" max="1" width="29.6640625" customWidth="1"/>
    <col min="2" max="6" width="11.44140625" style="185"/>
    <col min="7" max="7" width="20.109375" customWidth="1"/>
  </cols>
  <sheetData>
    <row r="6" spans="1:7" x14ac:dyDescent="0.25">
      <c r="A6" s="183" t="s">
        <v>290</v>
      </c>
      <c r="B6" s="184" t="s">
        <v>106</v>
      </c>
      <c r="C6" s="184" t="s">
        <v>107</v>
      </c>
      <c r="D6" s="184" t="s">
        <v>204</v>
      </c>
      <c r="E6" s="184" t="s">
        <v>205</v>
      </c>
      <c r="F6" s="184" t="s">
        <v>291</v>
      </c>
      <c r="G6" s="184" t="s">
        <v>92</v>
      </c>
    </row>
    <row r="7" spans="1:7" x14ac:dyDescent="0.25">
      <c r="A7" t="s">
        <v>292</v>
      </c>
      <c r="B7" s="185">
        <v>6</v>
      </c>
      <c r="C7" s="185">
        <v>6</v>
      </c>
      <c r="D7" s="185">
        <v>3</v>
      </c>
      <c r="E7" s="185">
        <v>3</v>
      </c>
      <c r="F7" s="191">
        <f>+SUM(B7:E7)</f>
        <v>18</v>
      </c>
      <c r="G7" t="s">
        <v>315</v>
      </c>
    </row>
    <row r="8" spans="1:7" x14ac:dyDescent="0.25">
      <c r="A8" t="s">
        <v>273</v>
      </c>
      <c r="B8" s="185">
        <v>1</v>
      </c>
      <c r="C8" s="185">
        <v>1</v>
      </c>
      <c r="D8" s="185">
        <v>1</v>
      </c>
      <c r="E8" s="185">
        <v>1</v>
      </c>
      <c r="F8" s="191">
        <f t="shared" ref="F8:F21" si="0">+SUM(B8:E8)</f>
        <v>4</v>
      </c>
      <c r="G8" t="s">
        <v>298</v>
      </c>
    </row>
    <row r="9" spans="1:7" x14ac:dyDescent="0.25">
      <c r="A9" t="s">
        <v>297</v>
      </c>
      <c r="B9" s="191"/>
      <c r="C9" s="185">
        <v>1</v>
      </c>
      <c r="D9" s="185">
        <v>1</v>
      </c>
      <c r="E9" s="191"/>
      <c r="F9" s="191">
        <f t="shared" si="0"/>
        <v>2</v>
      </c>
      <c r="G9" t="s">
        <v>317</v>
      </c>
    </row>
    <row r="10" spans="1:7" x14ac:dyDescent="0.25">
      <c r="A10" t="s">
        <v>295</v>
      </c>
      <c r="B10" s="185">
        <v>1</v>
      </c>
      <c r="C10" s="191"/>
      <c r="D10" s="191"/>
      <c r="E10" s="191"/>
      <c r="F10" s="191">
        <f t="shared" si="0"/>
        <v>1</v>
      </c>
      <c r="G10" t="s">
        <v>298</v>
      </c>
    </row>
    <row r="11" spans="1:7" x14ac:dyDescent="0.25">
      <c r="A11" t="s">
        <v>296</v>
      </c>
      <c r="B11" s="185">
        <v>1</v>
      </c>
      <c r="C11" s="185">
        <v>1</v>
      </c>
      <c r="D11" s="191"/>
      <c r="E11" s="191"/>
      <c r="F11" s="191">
        <f t="shared" si="0"/>
        <v>2</v>
      </c>
      <c r="G11" t="s">
        <v>313</v>
      </c>
    </row>
    <row r="12" spans="1:7" x14ac:dyDescent="0.25">
      <c r="A12" s="190" t="s">
        <v>314</v>
      </c>
      <c r="B12" s="191"/>
      <c r="C12" s="185">
        <v>1</v>
      </c>
      <c r="D12" s="191"/>
      <c r="E12" s="191"/>
      <c r="F12" s="191">
        <f t="shared" si="0"/>
        <v>1</v>
      </c>
      <c r="G12" t="s">
        <v>299</v>
      </c>
    </row>
    <row r="13" spans="1:7" x14ac:dyDescent="0.25">
      <c r="A13" t="s">
        <v>293</v>
      </c>
      <c r="B13" s="185">
        <v>1</v>
      </c>
      <c r="C13" s="191"/>
      <c r="D13" s="185">
        <v>2</v>
      </c>
      <c r="E13" s="185">
        <v>2</v>
      </c>
      <c r="F13" s="191">
        <f t="shared" si="0"/>
        <v>5</v>
      </c>
      <c r="G13" t="s">
        <v>300</v>
      </c>
    </row>
    <row r="14" spans="1:7" x14ac:dyDescent="0.25">
      <c r="A14" t="s">
        <v>136</v>
      </c>
      <c r="B14" s="185">
        <v>1</v>
      </c>
      <c r="C14" s="191"/>
      <c r="D14" s="191"/>
      <c r="E14" s="185">
        <v>1</v>
      </c>
      <c r="F14" s="191">
        <f t="shared" si="0"/>
        <v>2</v>
      </c>
      <c r="G14" t="s">
        <v>316</v>
      </c>
    </row>
    <row r="15" spans="1:7" x14ac:dyDescent="0.25">
      <c r="A15" t="s">
        <v>323</v>
      </c>
      <c r="B15" s="191"/>
      <c r="C15" s="185">
        <v>1</v>
      </c>
      <c r="D15" s="185">
        <v>1</v>
      </c>
      <c r="E15" s="191"/>
      <c r="F15" s="191">
        <f t="shared" si="0"/>
        <v>2</v>
      </c>
      <c r="G15" t="s">
        <v>223</v>
      </c>
    </row>
    <row r="16" spans="1:7" x14ac:dyDescent="0.25">
      <c r="A16" t="s">
        <v>318</v>
      </c>
      <c r="B16" s="191"/>
      <c r="C16" s="185">
        <v>1</v>
      </c>
      <c r="D16" s="185">
        <v>1</v>
      </c>
      <c r="E16" s="185">
        <v>1</v>
      </c>
      <c r="F16" s="191">
        <f t="shared" si="0"/>
        <v>3</v>
      </c>
      <c r="G16" t="s">
        <v>319</v>
      </c>
    </row>
    <row r="17" spans="1:7" x14ac:dyDescent="0.25">
      <c r="A17" t="s">
        <v>320</v>
      </c>
      <c r="B17" s="185">
        <v>3</v>
      </c>
      <c r="C17" s="185">
        <v>3</v>
      </c>
      <c r="D17" s="185">
        <v>3</v>
      </c>
      <c r="E17" s="185">
        <v>2</v>
      </c>
      <c r="F17" s="191">
        <f t="shared" si="0"/>
        <v>11</v>
      </c>
    </row>
    <row r="18" spans="1:7" x14ac:dyDescent="0.25">
      <c r="A18" t="s">
        <v>321</v>
      </c>
      <c r="B18" s="185">
        <v>6</v>
      </c>
      <c r="C18" s="185">
        <v>6</v>
      </c>
      <c r="D18" s="185">
        <v>3</v>
      </c>
      <c r="E18" s="185">
        <v>3</v>
      </c>
      <c r="F18" s="191">
        <f t="shared" si="0"/>
        <v>18</v>
      </c>
    </row>
    <row r="19" spans="1:7" x14ac:dyDescent="0.25">
      <c r="A19" t="s">
        <v>125</v>
      </c>
      <c r="B19" s="185">
        <v>3</v>
      </c>
      <c r="C19" s="185">
        <v>3</v>
      </c>
      <c r="D19" s="185">
        <v>3</v>
      </c>
      <c r="E19" s="185">
        <v>2</v>
      </c>
      <c r="F19" s="191">
        <f t="shared" si="0"/>
        <v>11</v>
      </c>
    </row>
    <row r="20" spans="1:7" x14ac:dyDescent="0.25">
      <c r="A20" t="s">
        <v>52</v>
      </c>
      <c r="B20" s="185">
        <v>3</v>
      </c>
      <c r="C20" s="185">
        <v>3</v>
      </c>
      <c r="D20" s="185">
        <v>3</v>
      </c>
      <c r="E20" s="185">
        <v>2</v>
      </c>
      <c r="F20" s="191">
        <f t="shared" si="0"/>
        <v>11</v>
      </c>
    </row>
    <row r="21" spans="1:7" x14ac:dyDescent="0.25">
      <c r="A21" t="s">
        <v>294</v>
      </c>
      <c r="B21" s="185">
        <v>12</v>
      </c>
      <c r="C21" s="185">
        <v>12</v>
      </c>
      <c r="D21" s="185">
        <v>6</v>
      </c>
      <c r="E21" s="185">
        <v>6</v>
      </c>
      <c r="F21" s="191">
        <f t="shared" si="0"/>
        <v>36</v>
      </c>
      <c r="G21" t="s">
        <v>315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7:W1167"/>
  <sheetViews>
    <sheetView showZeros="0" zoomScale="85" zoomScaleNormal="85" zoomScaleSheetLayoutView="100" zoomScalePageLayoutView="80" workbookViewId="0">
      <pane ySplit="11" topLeftCell="A617" activePane="bottomLeft" state="frozen"/>
      <selection pane="bottomLeft" activeCell="D556" sqref="D556"/>
    </sheetView>
  </sheetViews>
  <sheetFormatPr defaultColWidth="51.44140625" defaultRowHeight="12" x14ac:dyDescent="0.25"/>
  <cols>
    <col min="1" max="1" width="5.5546875" style="4" customWidth="1"/>
    <col min="2" max="2" width="35.88671875" style="4" customWidth="1"/>
    <col min="3" max="3" width="10.6640625" style="123" bestFit="1" customWidth="1"/>
    <col min="4" max="4" width="14.88671875" style="107" customWidth="1"/>
    <col min="5" max="5" width="15.5546875" style="138" customWidth="1"/>
    <col min="6" max="6" width="15" style="108" customWidth="1"/>
    <col min="7" max="8" width="18.6640625" style="108" hidden="1" customWidth="1"/>
    <col min="9" max="9" width="15" style="108" customWidth="1"/>
    <col min="10" max="10" width="15" style="105" customWidth="1"/>
    <col min="11" max="11" width="14.5546875" style="105" customWidth="1"/>
    <col min="12" max="12" width="14.5546875" style="105" hidden="1" customWidth="1"/>
    <col min="13" max="13" width="14.33203125" style="90" bestFit="1" customWidth="1"/>
    <col min="14" max="14" width="11.44140625" style="95" customWidth="1"/>
    <col min="15" max="15" width="21.109375" style="1" bestFit="1" customWidth="1"/>
    <col min="16" max="16" width="11.44140625" style="84" customWidth="1"/>
    <col min="17" max="17" width="11.44140625" style="125" customWidth="1"/>
    <col min="18" max="18" width="14.109375" style="125" bestFit="1" customWidth="1"/>
    <col min="19" max="19" width="11.44140625" style="125" customWidth="1"/>
    <col min="20" max="23" width="11.44140625" style="84" customWidth="1"/>
    <col min="24" max="97" width="11.44140625" style="1" customWidth="1"/>
    <col min="98" max="98" width="9.44140625" style="1" customWidth="1"/>
    <col min="99" max="99" width="51.44140625" style="1"/>
    <col min="100" max="100" width="8.6640625" style="1" customWidth="1"/>
    <col min="101" max="101" width="50.6640625" style="1" customWidth="1"/>
    <col min="102" max="102" width="22.6640625" style="1" customWidth="1"/>
    <col min="103" max="103" width="7.6640625" style="1" customWidth="1"/>
    <col min="104" max="104" width="10.6640625" style="1" customWidth="1"/>
    <col min="105" max="105" width="16.44140625" style="1" customWidth="1"/>
    <col min="106" max="106" width="18.6640625" style="1" customWidth="1"/>
    <col min="107" max="107" width="11.44140625" style="1" bestFit="1" customWidth="1"/>
    <col min="108" max="108" width="14.109375" style="1" bestFit="1" customWidth="1"/>
    <col min="109" max="109" width="11.44140625" style="1" bestFit="1" customWidth="1"/>
    <col min="110" max="353" width="11.44140625" style="1" customWidth="1"/>
    <col min="354" max="354" width="9.44140625" style="1" customWidth="1"/>
    <col min="355" max="355" width="51.44140625" style="1"/>
    <col min="356" max="356" width="8.6640625" style="1" customWidth="1"/>
    <col min="357" max="357" width="50.6640625" style="1" customWidth="1"/>
    <col min="358" max="358" width="22.6640625" style="1" customWidth="1"/>
    <col min="359" max="359" width="7.6640625" style="1" customWidth="1"/>
    <col min="360" max="360" width="10.6640625" style="1" customWidth="1"/>
    <col min="361" max="361" width="16.44140625" style="1" customWidth="1"/>
    <col min="362" max="362" width="18.6640625" style="1" customWidth="1"/>
    <col min="363" max="363" width="11.44140625" style="1" bestFit="1" customWidth="1"/>
    <col min="364" max="364" width="14.109375" style="1" bestFit="1" customWidth="1"/>
    <col min="365" max="365" width="11.44140625" style="1" bestFit="1" customWidth="1"/>
    <col min="366" max="609" width="11.44140625" style="1" customWidth="1"/>
    <col min="610" max="610" width="9.44140625" style="1" customWidth="1"/>
    <col min="611" max="611" width="51.44140625" style="1"/>
    <col min="612" max="612" width="8.6640625" style="1" customWidth="1"/>
    <col min="613" max="613" width="50.6640625" style="1" customWidth="1"/>
    <col min="614" max="614" width="22.6640625" style="1" customWidth="1"/>
    <col min="615" max="615" width="7.6640625" style="1" customWidth="1"/>
    <col min="616" max="616" width="10.6640625" style="1" customWidth="1"/>
    <col min="617" max="617" width="16.44140625" style="1" customWidth="1"/>
    <col min="618" max="618" width="18.6640625" style="1" customWidth="1"/>
    <col min="619" max="619" width="11.44140625" style="1" bestFit="1" customWidth="1"/>
    <col min="620" max="620" width="14.109375" style="1" bestFit="1" customWidth="1"/>
    <col min="621" max="621" width="11.44140625" style="1" bestFit="1" customWidth="1"/>
    <col min="622" max="865" width="11.44140625" style="1" customWidth="1"/>
    <col min="866" max="866" width="9.44140625" style="1" customWidth="1"/>
    <col min="867" max="867" width="51.44140625" style="1"/>
    <col min="868" max="868" width="8.6640625" style="1" customWidth="1"/>
    <col min="869" max="869" width="50.6640625" style="1" customWidth="1"/>
    <col min="870" max="870" width="22.6640625" style="1" customWidth="1"/>
    <col min="871" max="871" width="7.6640625" style="1" customWidth="1"/>
    <col min="872" max="872" width="10.6640625" style="1" customWidth="1"/>
    <col min="873" max="873" width="16.44140625" style="1" customWidth="1"/>
    <col min="874" max="874" width="18.6640625" style="1" customWidth="1"/>
    <col min="875" max="875" width="11.44140625" style="1" bestFit="1" customWidth="1"/>
    <col min="876" max="876" width="14.109375" style="1" bestFit="1" customWidth="1"/>
    <col min="877" max="877" width="11.44140625" style="1" bestFit="1" customWidth="1"/>
    <col min="878" max="1121" width="11.44140625" style="1" customWidth="1"/>
    <col min="1122" max="1122" width="9.44140625" style="1" customWidth="1"/>
    <col min="1123" max="1123" width="51.44140625" style="1"/>
    <col min="1124" max="1124" width="8.6640625" style="1" customWidth="1"/>
    <col min="1125" max="1125" width="50.6640625" style="1" customWidth="1"/>
    <col min="1126" max="1126" width="22.6640625" style="1" customWidth="1"/>
    <col min="1127" max="1127" width="7.6640625" style="1" customWidth="1"/>
    <col min="1128" max="1128" width="10.6640625" style="1" customWidth="1"/>
    <col min="1129" max="1129" width="16.44140625" style="1" customWidth="1"/>
    <col min="1130" max="1130" width="18.6640625" style="1" customWidth="1"/>
    <col min="1131" max="1131" width="11.44140625" style="1" bestFit="1" customWidth="1"/>
    <col min="1132" max="1132" width="14.109375" style="1" bestFit="1" customWidth="1"/>
    <col min="1133" max="1133" width="11.44140625" style="1" bestFit="1" customWidth="1"/>
    <col min="1134" max="1377" width="11.44140625" style="1" customWidth="1"/>
    <col min="1378" max="1378" width="9.44140625" style="1" customWidth="1"/>
    <col min="1379" max="1379" width="51.44140625" style="1"/>
    <col min="1380" max="1380" width="8.6640625" style="1" customWidth="1"/>
    <col min="1381" max="1381" width="50.6640625" style="1" customWidth="1"/>
    <col min="1382" max="1382" width="22.6640625" style="1" customWidth="1"/>
    <col min="1383" max="1383" width="7.6640625" style="1" customWidth="1"/>
    <col min="1384" max="1384" width="10.6640625" style="1" customWidth="1"/>
    <col min="1385" max="1385" width="16.44140625" style="1" customWidth="1"/>
    <col min="1386" max="1386" width="18.6640625" style="1" customWidth="1"/>
    <col min="1387" max="1387" width="11.44140625" style="1" bestFit="1" customWidth="1"/>
    <col min="1388" max="1388" width="14.109375" style="1" bestFit="1" customWidth="1"/>
    <col min="1389" max="1389" width="11.44140625" style="1" bestFit="1" customWidth="1"/>
    <col min="1390" max="1633" width="11.44140625" style="1" customWidth="1"/>
    <col min="1634" max="1634" width="9.44140625" style="1" customWidth="1"/>
    <col min="1635" max="1635" width="51.44140625" style="1"/>
    <col min="1636" max="1636" width="8.6640625" style="1" customWidth="1"/>
    <col min="1637" max="1637" width="50.6640625" style="1" customWidth="1"/>
    <col min="1638" max="1638" width="22.6640625" style="1" customWidth="1"/>
    <col min="1639" max="1639" width="7.6640625" style="1" customWidth="1"/>
    <col min="1640" max="1640" width="10.6640625" style="1" customWidth="1"/>
    <col min="1641" max="1641" width="16.44140625" style="1" customWidth="1"/>
    <col min="1642" max="1642" width="18.6640625" style="1" customWidth="1"/>
    <col min="1643" max="1643" width="11.44140625" style="1" bestFit="1" customWidth="1"/>
    <col min="1644" max="1644" width="14.109375" style="1" bestFit="1" customWidth="1"/>
    <col min="1645" max="1645" width="11.44140625" style="1" bestFit="1" customWidth="1"/>
    <col min="1646" max="1889" width="11.44140625" style="1" customWidth="1"/>
    <col min="1890" max="1890" width="9.44140625" style="1" customWidth="1"/>
    <col min="1891" max="1891" width="51.44140625" style="1"/>
    <col min="1892" max="1892" width="8.6640625" style="1" customWidth="1"/>
    <col min="1893" max="1893" width="50.6640625" style="1" customWidth="1"/>
    <col min="1894" max="1894" width="22.6640625" style="1" customWidth="1"/>
    <col min="1895" max="1895" width="7.6640625" style="1" customWidth="1"/>
    <col min="1896" max="1896" width="10.6640625" style="1" customWidth="1"/>
    <col min="1897" max="1897" width="16.44140625" style="1" customWidth="1"/>
    <col min="1898" max="1898" width="18.6640625" style="1" customWidth="1"/>
    <col min="1899" max="1899" width="11.44140625" style="1" bestFit="1" customWidth="1"/>
    <col min="1900" max="1900" width="14.109375" style="1" bestFit="1" customWidth="1"/>
    <col min="1901" max="1901" width="11.44140625" style="1" bestFit="1" customWidth="1"/>
    <col min="1902" max="2145" width="11.44140625" style="1" customWidth="1"/>
    <col min="2146" max="2146" width="9.44140625" style="1" customWidth="1"/>
    <col min="2147" max="2147" width="51.44140625" style="1"/>
    <col min="2148" max="2148" width="8.6640625" style="1" customWidth="1"/>
    <col min="2149" max="2149" width="50.6640625" style="1" customWidth="1"/>
    <col min="2150" max="2150" width="22.6640625" style="1" customWidth="1"/>
    <col min="2151" max="2151" width="7.6640625" style="1" customWidth="1"/>
    <col min="2152" max="2152" width="10.6640625" style="1" customWidth="1"/>
    <col min="2153" max="2153" width="16.44140625" style="1" customWidth="1"/>
    <col min="2154" max="2154" width="18.6640625" style="1" customWidth="1"/>
    <col min="2155" max="2155" width="11.44140625" style="1" bestFit="1" customWidth="1"/>
    <col min="2156" max="2156" width="14.109375" style="1" bestFit="1" customWidth="1"/>
    <col min="2157" max="2157" width="11.44140625" style="1" bestFit="1" customWidth="1"/>
    <col min="2158" max="2401" width="11.44140625" style="1" customWidth="1"/>
    <col min="2402" max="2402" width="9.44140625" style="1" customWidth="1"/>
    <col min="2403" max="2403" width="51.44140625" style="1"/>
    <col min="2404" max="2404" width="8.6640625" style="1" customWidth="1"/>
    <col min="2405" max="2405" width="50.6640625" style="1" customWidth="1"/>
    <col min="2406" max="2406" width="22.6640625" style="1" customWidth="1"/>
    <col min="2407" max="2407" width="7.6640625" style="1" customWidth="1"/>
    <col min="2408" max="2408" width="10.6640625" style="1" customWidth="1"/>
    <col min="2409" max="2409" width="16.44140625" style="1" customWidth="1"/>
    <col min="2410" max="2410" width="18.6640625" style="1" customWidth="1"/>
    <col min="2411" max="2411" width="11.44140625" style="1" bestFit="1" customWidth="1"/>
    <col min="2412" max="2412" width="14.109375" style="1" bestFit="1" customWidth="1"/>
    <col min="2413" max="2413" width="11.44140625" style="1" bestFit="1" customWidth="1"/>
    <col min="2414" max="2657" width="11.44140625" style="1" customWidth="1"/>
    <col min="2658" max="2658" width="9.44140625" style="1" customWidth="1"/>
    <col min="2659" max="2659" width="51.44140625" style="1"/>
    <col min="2660" max="2660" width="8.6640625" style="1" customWidth="1"/>
    <col min="2661" max="2661" width="50.6640625" style="1" customWidth="1"/>
    <col min="2662" max="2662" width="22.6640625" style="1" customWidth="1"/>
    <col min="2663" max="2663" width="7.6640625" style="1" customWidth="1"/>
    <col min="2664" max="2664" width="10.6640625" style="1" customWidth="1"/>
    <col min="2665" max="2665" width="16.44140625" style="1" customWidth="1"/>
    <col min="2666" max="2666" width="18.6640625" style="1" customWidth="1"/>
    <col min="2667" max="2667" width="11.44140625" style="1" bestFit="1" customWidth="1"/>
    <col min="2668" max="2668" width="14.109375" style="1" bestFit="1" customWidth="1"/>
    <col min="2669" max="2669" width="11.44140625" style="1" bestFit="1" customWidth="1"/>
    <col min="2670" max="2913" width="11.44140625" style="1" customWidth="1"/>
    <col min="2914" max="2914" width="9.44140625" style="1" customWidth="1"/>
    <col min="2915" max="2915" width="51.44140625" style="1"/>
    <col min="2916" max="2916" width="8.6640625" style="1" customWidth="1"/>
    <col min="2917" max="2917" width="50.6640625" style="1" customWidth="1"/>
    <col min="2918" max="2918" width="22.6640625" style="1" customWidth="1"/>
    <col min="2919" max="2919" width="7.6640625" style="1" customWidth="1"/>
    <col min="2920" max="2920" width="10.6640625" style="1" customWidth="1"/>
    <col min="2921" max="2921" width="16.44140625" style="1" customWidth="1"/>
    <col min="2922" max="2922" width="18.6640625" style="1" customWidth="1"/>
    <col min="2923" max="2923" width="11.44140625" style="1" bestFit="1" customWidth="1"/>
    <col min="2924" max="2924" width="14.109375" style="1" bestFit="1" customWidth="1"/>
    <col min="2925" max="2925" width="11.44140625" style="1" bestFit="1" customWidth="1"/>
    <col min="2926" max="3169" width="11.44140625" style="1" customWidth="1"/>
    <col min="3170" max="3170" width="9.44140625" style="1" customWidth="1"/>
    <col min="3171" max="3171" width="51.44140625" style="1"/>
    <col min="3172" max="3172" width="8.6640625" style="1" customWidth="1"/>
    <col min="3173" max="3173" width="50.6640625" style="1" customWidth="1"/>
    <col min="3174" max="3174" width="22.6640625" style="1" customWidth="1"/>
    <col min="3175" max="3175" width="7.6640625" style="1" customWidth="1"/>
    <col min="3176" max="3176" width="10.6640625" style="1" customWidth="1"/>
    <col min="3177" max="3177" width="16.44140625" style="1" customWidth="1"/>
    <col min="3178" max="3178" width="18.6640625" style="1" customWidth="1"/>
    <col min="3179" max="3179" width="11.44140625" style="1" bestFit="1" customWidth="1"/>
    <col min="3180" max="3180" width="14.109375" style="1" bestFit="1" customWidth="1"/>
    <col min="3181" max="3181" width="11.44140625" style="1" bestFit="1" customWidth="1"/>
    <col min="3182" max="3425" width="11.44140625" style="1" customWidth="1"/>
    <col min="3426" max="3426" width="9.44140625" style="1" customWidth="1"/>
    <col min="3427" max="3427" width="51.44140625" style="1"/>
    <col min="3428" max="3428" width="8.6640625" style="1" customWidth="1"/>
    <col min="3429" max="3429" width="50.6640625" style="1" customWidth="1"/>
    <col min="3430" max="3430" width="22.6640625" style="1" customWidth="1"/>
    <col min="3431" max="3431" width="7.6640625" style="1" customWidth="1"/>
    <col min="3432" max="3432" width="10.6640625" style="1" customWidth="1"/>
    <col min="3433" max="3433" width="16.44140625" style="1" customWidth="1"/>
    <col min="3434" max="3434" width="18.6640625" style="1" customWidth="1"/>
    <col min="3435" max="3435" width="11.44140625" style="1" bestFit="1" customWidth="1"/>
    <col min="3436" max="3436" width="14.109375" style="1" bestFit="1" customWidth="1"/>
    <col min="3437" max="3437" width="11.44140625" style="1" bestFit="1" customWidth="1"/>
    <col min="3438" max="3681" width="11.44140625" style="1" customWidth="1"/>
    <col min="3682" max="3682" width="9.44140625" style="1" customWidth="1"/>
    <col min="3683" max="3683" width="51.44140625" style="1"/>
    <col min="3684" max="3684" width="8.6640625" style="1" customWidth="1"/>
    <col min="3685" max="3685" width="50.6640625" style="1" customWidth="1"/>
    <col min="3686" max="3686" width="22.6640625" style="1" customWidth="1"/>
    <col min="3687" max="3687" width="7.6640625" style="1" customWidth="1"/>
    <col min="3688" max="3688" width="10.6640625" style="1" customWidth="1"/>
    <col min="3689" max="3689" width="16.44140625" style="1" customWidth="1"/>
    <col min="3690" max="3690" width="18.6640625" style="1" customWidth="1"/>
    <col min="3691" max="3691" width="11.44140625" style="1" bestFit="1" customWidth="1"/>
    <col min="3692" max="3692" width="14.109375" style="1" bestFit="1" customWidth="1"/>
    <col min="3693" max="3693" width="11.44140625" style="1" bestFit="1" customWidth="1"/>
    <col min="3694" max="3937" width="11.44140625" style="1" customWidth="1"/>
    <col min="3938" max="3938" width="9.44140625" style="1" customWidth="1"/>
    <col min="3939" max="3939" width="51.44140625" style="1"/>
    <col min="3940" max="3940" width="8.6640625" style="1" customWidth="1"/>
    <col min="3941" max="3941" width="50.6640625" style="1" customWidth="1"/>
    <col min="3942" max="3942" width="22.6640625" style="1" customWidth="1"/>
    <col min="3943" max="3943" width="7.6640625" style="1" customWidth="1"/>
    <col min="3944" max="3944" width="10.6640625" style="1" customWidth="1"/>
    <col min="3945" max="3945" width="16.44140625" style="1" customWidth="1"/>
    <col min="3946" max="3946" width="18.6640625" style="1" customWidth="1"/>
    <col min="3947" max="3947" width="11.44140625" style="1" bestFit="1" customWidth="1"/>
    <col min="3948" max="3948" width="14.109375" style="1" bestFit="1" customWidth="1"/>
    <col min="3949" max="3949" width="11.44140625" style="1" bestFit="1" customWidth="1"/>
    <col min="3950" max="4193" width="11.44140625" style="1" customWidth="1"/>
    <col min="4194" max="4194" width="9.44140625" style="1" customWidth="1"/>
    <col min="4195" max="4195" width="51.44140625" style="1"/>
    <col min="4196" max="4196" width="8.6640625" style="1" customWidth="1"/>
    <col min="4197" max="4197" width="50.6640625" style="1" customWidth="1"/>
    <col min="4198" max="4198" width="22.6640625" style="1" customWidth="1"/>
    <col min="4199" max="4199" width="7.6640625" style="1" customWidth="1"/>
    <col min="4200" max="4200" width="10.6640625" style="1" customWidth="1"/>
    <col min="4201" max="4201" width="16.44140625" style="1" customWidth="1"/>
    <col min="4202" max="4202" width="18.6640625" style="1" customWidth="1"/>
    <col min="4203" max="4203" width="11.44140625" style="1" bestFit="1" customWidth="1"/>
    <col min="4204" max="4204" width="14.109375" style="1" bestFit="1" customWidth="1"/>
    <col min="4205" max="4205" width="11.44140625" style="1" bestFit="1" customWidth="1"/>
    <col min="4206" max="4449" width="11.44140625" style="1" customWidth="1"/>
    <col min="4450" max="4450" width="9.44140625" style="1" customWidth="1"/>
    <col min="4451" max="4451" width="51.44140625" style="1"/>
    <col min="4452" max="4452" width="8.6640625" style="1" customWidth="1"/>
    <col min="4453" max="4453" width="50.6640625" style="1" customWidth="1"/>
    <col min="4454" max="4454" width="22.6640625" style="1" customWidth="1"/>
    <col min="4455" max="4455" width="7.6640625" style="1" customWidth="1"/>
    <col min="4456" max="4456" width="10.6640625" style="1" customWidth="1"/>
    <col min="4457" max="4457" width="16.44140625" style="1" customWidth="1"/>
    <col min="4458" max="4458" width="18.6640625" style="1" customWidth="1"/>
    <col min="4459" max="4459" width="11.44140625" style="1" bestFit="1" customWidth="1"/>
    <col min="4460" max="4460" width="14.109375" style="1" bestFit="1" customWidth="1"/>
    <col min="4461" max="4461" width="11.44140625" style="1" bestFit="1" customWidth="1"/>
    <col min="4462" max="4705" width="11.44140625" style="1" customWidth="1"/>
    <col min="4706" max="4706" width="9.44140625" style="1" customWidth="1"/>
    <col min="4707" max="4707" width="51.44140625" style="1"/>
    <col min="4708" max="4708" width="8.6640625" style="1" customWidth="1"/>
    <col min="4709" max="4709" width="50.6640625" style="1" customWidth="1"/>
    <col min="4710" max="4710" width="22.6640625" style="1" customWidth="1"/>
    <col min="4711" max="4711" width="7.6640625" style="1" customWidth="1"/>
    <col min="4712" max="4712" width="10.6640625" style="1" customWidth="1"/>
    <col min="4713" max="4713" width="16.44140625" style="1" customWidth="1"/>
    <col min="4714" max="4714" width="18.6640625" style="1" customWidth="1"/>
    <col min="4715" max="4715" width="11.44140625" style="1" bestFit="1" customWidth="1"/>
    <col min="4716" max="4716" width="14.109375" style="1" bestFit="1" customWidth="1"/>
    <col min="4717" max="4717" width="11.44140625" style="1" bestFit="1" customWidth="1"/>
    <col min="4718" max="4961" width="11.44140625" style="1" customWidth="1"/>
    <col min="4962" max="4962" width="9.44140625" style="1" customWidth="1"/>
    <col min="4963" max="4963" width="51.44140625" style="1"/>
    <col min="4964" max="4964" width="8.6640625" style="1" customWidth="1"/>
    <col min="4965" max="4965" width="50.6640625" style="1" customWidth="1"/>
    <col min="4966" max="4966" width="22.6640625" style="1" customWidth="1"/>
    <col min="4967" max="4967" width="7.6640625" style="1" customWidth="1"/>
    <col min="4968" max="4968" width="10.6640625" style="1" customWidth="1"/>
    <col min="4969" max="4969" width="16.44140625" style="1" customWidth="1"/>
    <col min="4970" max="4970" width="18.6640625" style="1" customWidth="1"/>
    <col min="4971" max="4971" width="11.44140625" style="1" bestFit="1" customWidth="1"/>
    <col min="4972" max="4972" width="14.109375" style="1" bestFit="1" customWidth="1"/>
    <col min="4973" max="4973" width="11.44140625" style="1" bestFit="1" customWidth="1"/>
    <col min="4974" max="5217" width="11.44140625" style="1" customWidth="1"/>
    <col min="5218" max="5218" width="9.44140625" style="1" customWidth="1"/>
    <col min="5219" max="5219" width="51.44140625" style="1"/>
    <col min="5220" max="5220" width="8.6640625" style="1" customWidth="1"/>
    <col min="5221" max="5221" width="50.6640625" style="1" customWidth="1"/>
    <col min="5222" max="5222" width="22.6640625" style="1" customWidth="1"/>
    <col min="5223" max="5223" width="7.6640625" style="1" customWidth="1"/>
    <col min="5224" max="5224" width="10.6640625" style="1" customWidth="1"/>
    <col min="5225" max="5225" width="16.44140625" style="1" customWidth="1"/>
    <col min="5226" max="5226" width="18.6640625" style="1" customWidth="1"/>
    <col min="5227" max="5227" width="11.44140625" style="1" bestFit="1" customWidth="1"/>
    <col min="5228" max="5228" width="14.109375" style="1" bestFit="1" customWidth="1"/>
    <col min="5229" max="5229" width="11.44140625" style="1" bestFit="1" customWidth="1"/>
    <col min="5230" max="5473" width="11.44140625" style="1" customWidth="1"/>
    <col min="5474" max="5474" width="9.44140625" style="1" customWidth="1"/>
    <col min="5475" max="5475" width="51.44140625" style="1"/>
    <col min="5476" max="5476" width="8.6640625" style="1" customWidth="1"/>
    <col min="5477" max="5477" width="50.6640625" style="1" customWidth="1"/>
    <col min="5478" max="5478" width="22.6640625" style="1" customWidth="1"/>
    <col min="5479" max="5479" width="7.6640625" style="1" customWidth="1"/>
    <col min="5480" max="5480" width="10.6640625" style="1" customWidth="1"/>
    <col min="5481" max="5481" width="16.44140625" style="1" customWidth="1"/>
    <col min="5482" max="5482" width="18.6640625" style="1" customWidth="1"/>
    <col min="5483" max="5483" width="11.44140625" style="1" bestFit="1" customWidth="1"/>
    <col min="5484" max="5484" width="14.109375" style="1" bestFit="1" customWidth="1"/>
    <col min="5485" max="5485" width="11.44140625" style="1" bestFit="1" customWidth="1"/>
    <col min="5486" max="5729" width="11.44140625" style="1" customWidth="1"/>
    <col min="5730" max="5730" width="9.44140625" style="1" customWidth="1"/>
    <col min="5731" max="5731" width="51.44140625" style="1"/>
    <col min="5732" max="5732" width="8.6640625" style="1" customWidth="1"/>
    <col min="5733" max="5733" width="50.6640625" style="1" customWidth="1"/>
    <col min="5734" max="5734" width="22.6640625" style="1" customWidth="1"/>
    <col min="5735" max="5735" width="7.6640625" style="1" customWidth="1"/>
    <col min="5736" max="5736" width="10.6640625" style="1" customWidth="1"/>
    <col min="5737" max="5737" width="16.44140625" style="1" customWidth="1"/>
    <col min="5738" max="5738" width="18.6640625" style="1" customWidth="1"/>
    <col min="5739" max="5739" width="11.44140625" style="1" bestFit="1" customWidth="1"/>
    <col min="5740" max="5740" width="14.109375" style="1" bestFit="1" customWidth="1"/>
    <col min="5741" max="5741" width="11.44140625" style="1" bestFit="1" customWidth="1"/>
    <col min="5742" max="5985" width="11.44140625" style="1" customWidth="1"/>
    <col min="5986" max="5986" width="9.44140625" style="1" customWidth="1"/>
    <col min="5987" max="5987" width="51.44140625" style="1"/>
    <col min="5988" max="5988" width="8.6640625" style="1" customWidth="1"/>
    <col min="5989" max="5989" width="50.6640625" style="1" customWidth="1"/>
    <col min="5990" max="5990" width="22.6640625" style="1" customWidth="1"/>
    <col min="5991" max="5991" width="7.6640625" style="1" customWidth="1"/>
    <col min="5992" max="5992" width="10.6640625" style="1" customWidth="1"/>
    <col min="5993" max="5993" width="16.44140625" style="1" customWidth="1"/>
    <col min="5994" max="5994" width="18.6640625" style="1" customWidth="1"/>
    <col min="5995" max="5995" width="11.44140625" style="1" bestFit="1" customWidth="1"/>
    <col min="5996" max="5996" width="14.109375" style="1" bestFit="1" customWidth="1"/>
    <col min="5997" max="5997" width="11.44140625" style="1" bestFit="1" customWidth="1"/>
    <col min="5998" max="6241" width="11.44140625" style="1" customWidth="1"/>
    <col min="6242" max="6242" width="9.44140625" style="1" customWidth="1"/>
    <col min="6243" max="6243" width="51.44140625" style="1"/>
    <col min="6244" max="6244" width="8.6640625" style="1" customWidth="1"/>
    <col min="6245" max="6245" width="50.6640625" style="1" customWidth="1"/>
    <col min="6246" max="6246" width="22.6640625" style="1" customWidth="1"/>
    <col min="6247" max="6247" width="7.6640625" style="1" customWidth="1"/>
    <col min="6248" max="6248" width="10.6640625" style="1" customWidth="1"/>
    <col min="6249" max="6249" width="16.44140625" style="1" customWidth="1"/>
    <col min="6250" max="6250" width="18.6640625" style="1" customWidth="1"/>
    <col min="6251" max="6251" width="11.44140625" style="1" bestFit="1" customWidth="1"/>
    <col min="6252" max="6252" width="14.109375" style="1" bestFit="1" customWidth="1"/>
    <col min="6253" max="6253" width="11.44140625" style="1" bestFit="1" customWidth="1"/>
    <col min="6254" max="6497" width="11.44140625" style="1" customWidth="1"/>
    <col min="6498" max="6498" width="9.44140625" style="1" customWidth="1"/>
    <col min="6499" max="6499" width="51.44140625" style="1"/>
    <col min="6500" max="6500" width="8.6640625" style="1" customWidth="1"/>
    <col min="6501" max="6501" width="50.6640625" style="1" customWidth="1"/>
    <col min="6502" max="6502" width="22.6640625" style="1" customWidth="1"/>
    <col min="6503" max="6503" width="7.6640625" style="1" customWidth="1"/>
    <col min="6504" max="6504" width="10.6640625" style="1" customWidth="1"/>
    <col min="6505" max="6505" width="16.44140625" style="1" customWidth="1"/>
    <col min="6506" max="6506" width="18.6640625" style="1" customWidth="1"/>
    <col min="6507" max="6507" width="11.44140625" style="1" bestFit="1" customWidth="1"/>
    <col min="6508" max="6508" width="14.109375" style="1" bestFit="1" customWidth="1"/>
    <col min="6509" max="6509" width="11.44140625" style="1" bestFit="1" customWidth="1"/>
    <col min="6510" max="6753" width="11.44140625" style="1" customWidth="1"/>
    <col min="6754" max="6754" width="9.44140625" style="1" customWidth="1"/>
    <col min="6755" max="6755" width="51.44140625" style="1"/>
    <col min="6756" max="6756" width="8.6640625" style="1" customWidth="1"/>
    <col min="6757" max="6757" width="50.6640625" style="1" customWidth="1"/>
    <col min="6758" max="6758" width="22.6640625" style="1" customWidth="1"/>
    <col min="6759" max="6759" width="7.6640625" style="1" customWidth="1"/>
    <col min="6760" max="6760" width="10.6640625" style="1" customWidth="1"/>
    <col min="6761" max="6761" width="16.44140625" style="1" customWidth="1"/>
    <col min="6762" max="6762" width="18.6640625" style="1" customWidth="1"/>
    <col min="6763" max="6763" width="11.44140625" style="1" bestFit="1" customWidth="1"/>
    <col min="6764" max="6764" width="14.109375" style="1" bestFit="1" customWidth="1"/>
    <col min="6765" max="6765" width="11.44140625" style="1" bestFit="1" customWidth="1"/>
    <col min="6766" max="7009" width="11.44140625" style="1" customWidth="1"/>
    <col min="7010" max="7010" width="9.44140625" style="1" customWidth="1"/>
    <col min="7011" max="7011" width="51.44140625" style="1"/>
    <col min="7012" max="7012" width="8.6640625" style="1" customWidth="1"/>
    <col min="7013" max="7013" width="50.6640625" style="1" customWidth="1"/>
    <col min="7014" max="7014" width="22.6640625" style="1" customWidth="1"/>
    <col min="7015" max="7015" width="7.6640625" style="1" customWidth="1"/>
    <col min="7016" max="7016" width="10.6640625" style="1" customWidth="1"/>
    <col min="7017" max="7017" width="16.44140625" style="1" customWidth="1"/>
    <col min="7018" max="7018" width="18.6640625" style="1" customWidth="1"/>
    <col min="7019" max="7019" width="11.44140625" style="1" bestFit="1" customWidth="1"/>
    <col min="7020" max="7020" width="14.109375" style="1" bestFit="1" customWidth="1"/>
    <col min="7021" max="7021" width="11.44140625" style="1" bestFit="1" customWidth="1"/>
    <col min="7022" max="7265" width="11.44140625" style="1" customWidth="1"/>
    <col min="7266" max="7266" width="9.44140625" style="1" customWidth="1"/>
    <col min="7267" max="7267" width="51.44140625" style="1"/>
    <col min="7268" max="7268" width="8.6640625" style="1" customWidth="1"/>
    <col min="7269" max="7269" width="50.6640625" style="1" customWidth="1"/>
    <col min="7270" max="7270" width="22.6640625" style="1" customWidth="1"/>
    <col min="7271" max="7271" width="7.6640625" style="1" customWidth="1"/>
    <col min="7272" max="7272" width="10.6640625" style="1" customWidth="1"/>
    <col min="7273" max="7273" width="16.44140625" style="1" customWidth="1"/>
    <col min="7274" max="7274" width="18.6640625" style="1" customWidth="1"/>
    <col min="7275" max="7275" width="11.44140625" style="1" bestFit="1" customWidth="1"/>
    <col min="7276" max="7276" width="14.109375" style="1" bestFit="1" customWidth="1"/>
    <col min="7277" max="7277" width="11.44140625" style="1" bestFit="1" customWidth="1"/>
    <col min="7278" max="7521" width="11.44140625" style="1" customWidth="1"/>
    <col min="7522" max="7522" width="9.44140625" style="1" customWidth="1"/>
    <col min="7523" max="7523" width="51.44140625" style="1"/>
    <col min="7524" max="7524" width="8.6640625" style="1" customWidth="1"/>
    <col min="7525" max="7525" width="50.6640625" style="1" customWidth="1"/>
    <col min="7526" max="7526" width="22.6640625" style="1" customWidth="1"/>
    <col min="7527" max="7527" width="7.6640625" style="1" customWidth="1"/>
    <col min="7528" max="7528" width="10.6640625" style="1" customWidth="1"/>
    <col min="7529" max="7529" width="16.44140625" style="1" customWidth="1"/>
    <col min="7530" max="7530" width="18.6640625" style="1" customWidth="1"/>
    <col min="7531" max="7531" width="11.44140625" style="1" bestFit="1" customWidth="1"/>
    <col min="7532" max="7532" width="14.109375" style="1" bestFit="1" customWidth="1"/>
    <col min="7533" max="7533" width="11.44140625" style="1" bestFit="1" customWidth="1"/>
    <col min="7534" max="7777" width="11.44140625" style="1" customWidth="1"/>
    <col min="7778" max="7778" width="9.44140625" style="1" customWidth="1"/>
    <col min="7779" max="7779" width="51.44140625" style="1"/>
    <col min="7780" max="7780" width="8.6640625" style="1" customWidth="1"/>
    <col min="7781" max="7781" width="50.6640625" style="1" customWidth="1"/>
    <col min="7782" max="7782" width="22.6640625" style="1" customWidth="1"/>
    <col min="7783" max="7783" width="7.6640625" style="1" customWidth="1"/>
    <col min="7784" max="7784" width="10.6640625" style="1" customWidth="1"/>
    <col min="7785" max="7785" width="16.44140625" style="1" customWidth="1"/>
    <col min="7786" max="7786" width="18.6640625" style="1" customWidth="1"/>
    <col min="7787" max="7787" width="11.44140625" style="1" bestFit="1" customWidth="1"/>
    <col min="7788" max="7788" width="14.109375" style="1" bestFit="1" customWidth="1"/>
    <col min="7789" max="7789" width="11.44140625" style="1" bestFit="1" customWidth="1"/>
    <col min="7790" max="8033" width="11.44140625" style="1" customWidth="1"/>
    <col min="8034" max="8034" width="9.44140625" style="1" customWidth="1"/>
    <col min="8035" max="8035" width="51.44140625" style="1"/>
    <col min="8036" max="8036" width="8.6640625" style="1" customWidth="1"/>
    <col min="8037" max="8037" width="50.6640625" style="1" customWidth="1"/>
    <col min="8038" max="8038" width="22.6640625" style="1" customWidth="1"/>
    <col min="8039" max="8039" width="7.6640625" style="1" customWidth="1"/>
    <col min="8040" max="8040" width="10.6640625" style="1" customWidth="1"/>
    <col min="8041" max="8041" width="16.44140625" style="1" customWidth="1"/>
    <col min="8042" max="8042" width="18.6640625" style="1" customWidth="1"/>
    <col min="8043" max="8043" width="11.44140625" style="1" bestFit="1" customWidth="1"/>
    <col min="8044" max="8044" width="14.109375" style="1" bestFit="1" customWidth="1"/>
    <col min="8045" max="8045" width="11.44140625" style="1" bestFit="1" customWidth="1"/>
    <col min="8046" max="8289" width="11.44140625" style="1" customWidth="1"/>
    <col min="8290" max="8290" width="9.44140625" style="1" customWidth="1"/>
    <col min="8291" max="8291" width="51.44140625" style="1"/>
    <col min="8292" max="8292" width="8.6640625" style="1" customWidth="1"/>
    <col min="8293" max="8293" width="50.6640625" style="1" customWidth="1"/>
    <col min="8294" max="8294" width="22.6640625" style="1" customWidth="1"/>
    <col min="8295" max="8295" width="7.6640625" style="1" customWidth="1"/>
    <col min="8296" max="8296" width="10.6640625" style="1" customWidth="1"/>
    <col min="8297" max="8297" width="16.44140625" style="1" customWidth="1"/>
    <col min="8298" max="8298" width="18.6640625" style="1" customWidth="1"/>
    <col min="8299" max="8299" width="11.44140625" style="1" bestFit="1" customWidth="1"/>
    <col min="8300" max="8300" width="14.109375" style="1" bestFit="1" customWidth="1"/>
    <col min="8301" max="8301" width="11.44140625" style="1" bestFit="1" customWidth="1"/>
    <col min="8302" max="8545" width="11.44140625" style="1" customWidth="1"/>
    <col min="8546" max="8546" width="9.44140625" style="1" customWidth="1"/>
    <col min="8547" max="8547" width="51.44140625" style="1"/>
    <col min="8548" max="8548" width="8.6640625" style="1" customWidth="1"/>
    <col min="8549" max="8549" width="50.6640625" style="1" customWidth="1"/>
    <col min="8550" max="8550" width="22.6640625" style="1" customWidth="1"/>
    <col min="8551" max="8551" width="7.6640625" style="1" customWidth="1"/>
    <col min="8552" max="8552" width="10.6640625" style="1" customWidth="1"/>
    <col min="8553" max="8553" width="16.44140625" style="1" customWidth="1"/>
    <col min="8554" max="8554" width="18.6640625" style="1" customWidth="1"/>
    <col min="8555" max="8555" width="11.44140625" style="1" bestFit="1" customWidth="1"/>
    <col min="8556" max="8556" width="14.109375" style="1" bestFit="1" customWidth="1"/>
    <col min="8557" max="8557" width="11.44140625" style="1" bestFit="1" customWidth="1"/>
    <col min="8558" max="8801" width="11.44140625" style="1" customWidth="1"/>
    <col min="8802" max="8802" width="9.44140625" style="1" customWidth="1"/>
    <col min="8803" max="8803" width="51.44140625" style="1"/>
    <col min="8804" max="8804" width="8.6640625" style="1" customWidth="1"/>
    <col min="8805" max="8805" width="50.6640625" style="1" customWidth="1"/>
    <col min="8806" max="8806" width="22.6640625" style="1" customWidth="1"/>
    <col min="8807" max="8807" width="7.6640625" style="1" customWidth="1"/>
    <col min="8808" max="8808" width="10.6640625" style="1" customWidth="1"/>
    <col min="8809" max="8809" width="16.44140625" style="1" customWidth="1"/>
    <col min="8810" max="8810" width="18.6640625" style="1" customWidth="1"/>
    <col min="8811" max="8811" width="11.44140625" style="1" bestFit="1" customWidth="1"/>
    <col min="8812" max="8812" width="14.109375" style="1" bestFit="1" customWidth="1"/>
    <col min="8813" max="8813" width="11.44140625" style="1" bestFit="1" customWidth="1"/>
    <col min="8814" max="9057" width="11.44140625" style="1" customWidth="1"/>
    <col min="9058" max="9058" width="9.44140625" style="1" customWidth="1"/>
    <col min="9059" max="9059" width="51.44140625" style="1"/>
    <col min="9060" max="9060" width="8.6640625" style="1" customWidth="1"/>
    <col min="9061" max="9061" width="50.6640625" style="1" customWidth="1"/>
    <col min="9062" max="9062" width="22.6640625" style="1" customWidth="1"/>
    <col min="9063" max="9063" width="7.6640625" style="1" customWidth="1"/>
    <col min="9064" max="9064" width="10.6640625" style="1" customWidth="1"/>
    <col min="9065" max="9065" width="16.44140625" style="1" customWidth="1"/>
    <col min="9066" max="9066" width="18.6640625" style="1" customWidth="1"/>
    <col min="9067" max="9067" width="11.44140625" style="1" bestFit="1" customWidth="1"/>
    <col min="9068" max="9068" width="14.109375" style="1" bestFit="1" customWidth="1"/>
    <col min="9069" max="9069" width="11.44140625" style="1" bestFit="1" customWidth="1"/>
    <col min="9070" max="9313" width="11.44140625" style="1" customWidth="1"/>
    <col min="9314" max="9314" width="9.44140625" style="1" customWidth="1"/>
    <col min="9315" max="9315" width="51.44140625" style="1"/>
    <col min="9316" max="9316" width="8.6640625" style="1" customWidth="1"/>
    <col min="9317" max="9317" width="50.6640625" style="1" customWidth="1"/>
    <col min="9318" max="9318" width="22.6640625" style="1" customWidth="1"/>
    <col min="9319" max="9319" width="7.6640625" style="1" customWidth="1"/>
    <col min="9320" max="9320" width="10.6640625" style="1" customWidth="1"/>
    <col min="9321" max="9321" width="16.44140625" style="1" customWidth="1"/>
    <col min="9322" max="9322" width="18.6640625" style="1" customWidth="1"/>
    <col min="9323" max="9323" width="11.44140625" style="1" bestFit="1" customWidth="1"/>
    <col min="9324" max="9324" width="14.109375" style="1" bestFit="1" customWidth="1"/>
    <col min="9325" max="9325" width="11.44140625" style="1" bestFit="1" customWidth="1"/>
    <col min="9326" max="9569" width="11.44140625" style="1" customWidth="1"/>
    <col min="9570" max="9570" width="9.44140625" style="1" customWidth="1"/>
    <col min="9571" max="9571" width="51.44140625" style="1"/>
    <col min="9572" max="9572" width="8.6640625" style="1" customWidth="1"/>
    <col min="9573" max="9573" width="50.6640625" style="1" customWidth="1"/>
    <col min="9574" max="9574" width="22.6640625" style="1" customWidth="1"/>
    <col min="9575" max="9575" width="7.6640625" style="1" customWidth="1"/>
    <col min="9576" max="9576" width="10.6640625" style="1" customWidth="1"/>
    <col min="9577" max="9577" width="16.44140625" style="1" customWidth="1"/>
    <col min="9578" max="9578" width="18.6640625" style="1" customWidth="1"/>
    <col min="9579" max="9579" width="11.44140625" style="1" bestFit="1" customWidth="1"/>
    <col min="9580" max="9580" width="14.109375" style="1" bestFit="1" customWidth="1"/>
    <col min="9581" max="9581" width="11.44140625" style="1" bestFit="1" customWidth="1"/>
    <col min="9582" max="9825" width="11.44140625" style="1" customWidth="1"/>
    <col min="9826" max="9826" width="9.44140625" style="1" customWidth="1"/>
    <col min="9827" max="9827" width="51.44140625" style="1"/>
    <col min="9828" max="9828" width="8.6640625" style="1" customWidth="1"/>
    <col min="9829" max="9829" width="50.6640625" style="1" customWidth="1"/>
    <col min="9830" max="9830" width="22.6640625" style="1" customWidth="1"/>
    <col min="9831" max="9831" width="7.6640625" style="1" customWidth="1"/>
    <col min="9832" max="9832" width="10.6640625" style="1" customWidth="1"/>
    <col min="9833" max="9833" width="16.44140625" style="1" customWidth="1"/>
    <col min="9834" max="9834" width="18.6640625" style="1" customWidth="1"/>
    <col min="9835" max="9835" width="11.44140625" style="1" bestFit="1" customWidth="1"/>
    <col min="9836" max="9836" width="14.109375" style="1" bestFit="1" customWidth="1"/>
    <col min="9837" max="9837" width="11.44140625" style="1" bestFit="1" customWidth="1"/>
    <col min="9838" max="10081" width="11.44140625" style="1" customWidth="1"/>
    <col min="10082" max="10082" width="9.44140625" style="1" customWidth="1"/>
    <col min="10083" max="10083" width="51.44140625" style="1"/>
    <col min="10084" max="10084" width="8.6640625" style="1" customWidth="1"/>
    <col min="10085" max="10085" width="50.6640625" style="1" customWidth="1"/>
    <col min="10086" max="10086" width="22.6640625" style="1" customWidth="1"/>
    <col min="10087" max="10087" width="7.6640625" style="1" customWidth="1"/>
    <col min="10088" max="10088" width="10.6640625" style="1" customWidth="1"/>
    <col min="10089" max="10089" width="16.44140625" style="1" customWidth="1"/>
    <col min="10090" max="10090" width="18.6640625" style="1" customWidth="1"/>
    <col min="10091" max="10091" width="11.44140625" style="1" bestFit="1" customWidth="1"/>
    <col min="10092" max="10092" width="14.109375" style="1" bestFit="1" customWidth="1"/>
    <col min="10093" max="10093" width="11.44140625" style="1" bestFit="1" customWidth="1"/>
    <col min="10094" max="10337" width="11.44140625" style="1" customWidth="1"/>
    <col min="10338" max="10338" width="9.44140625" style="1" customWidth="1"/>
    <col min="10339" max="10339" width="51.44140625" style="1"/>
    <col min="10340" max="10340" width="8.6640625" style="1" customWidth="1"/>
    <col min="10341" max="10341" width="50.6640625" style="1" customWidth="1"/>
    <col min="10342" max="10342" width="22.6640625" style="1" customWidth="1"/>
    <col min="10343" max="10343" width="7.6640625" style="1" customWidth="1"/>
    <col min="10344" max="10344" width="10.6640625" style="1" customWidth="1"/>
    <col min="10345" max="10345" width="16.44140625" style="1" customWidth="1"/>
    <col min="10346" max="10346" width="18.6640625" style="1" customWidth="1"/>
    <col min="10347" max="10347" width="11.44140625" style="1" bestFit="1" customWidth="1"/>
    <col min="10348" max="10348" width="14.109375" style="1" bestFit="1" customWidth="1"/>
    <col min="10349" max="10349" width="11.44140625" style="1" bestFit="1" customWidth="1"/>
    <col min="10350" max="10593" width="11.44140625" style="1" customWidth="1"/>
    <col min="10594" max="10594" width="9.44140625" style="1" customWidth="1"/>
    <col min="10595" max="10595" width="51.44140625" style="1"/>
    <col min="10596" max="10596" width="8.6640625" style="1" customWidth="1"/>
    <col min="10597" max="10597" width="50.6640625" style="1" customWidth="1"/>
    <col min="10598" max="10598" width="22.6640625" style="1" customWidth="1"/>
    <col min="10599" max="10599" width="7.6640625" style="1" customWidth="1"/>
    <col min="10600" max="10600" width="10.6640625" style="1" customWidth="1"/>
    <col min="10601" max="10601" width="16.44140625" style="1" customWidth="1"/>
    <col min="10602" max="10602" width="18.6640625" style="1" customWidth="1"/>
    <col min="10603" max="10603" width="11.44140625" style="1" bestFit="1" customWidth="1"/>
    <col min="10604" max="10604" width="14.109375" style="1" bestFit="1" customWidth="1"/>
    <col min="10605" max="10605" width="11.44140625" style="1" bestFit="1" customWidth="1"/>
    <col min="10606" max="10849" width="11.44140625" style="1" customWidth="1"/>
    <col min="10850" max="10850" width="9.44140625" style="1" customWidth="1"/>
    <col min="10851" max="10851" width="51.44140625" style="1"/>
    <col min="10852" max="10852" width="8.6640625" style="1" customWidth="1"/>
    <col min="10853" max="10853" width="50.6640625" style="1" customWidth="1"/>
    <col min="10854" max="10854" width="22.6640625" style="1" customWidth="1"/>
    <col min="10855" max="10855" width="7.6640625" style="1" customWidth="1"/>
    <col min="10856" max="10856" width="10.6640625" style="1" customWidth="1"/>
    <col min="10857" max="10857" width="16.44140625" style="1" customWidth="1"/>
    <col min="10858" max="10858" width="18.6640625" style="1" customWidth="1"/>
    <col min="10859" max="10859" width="11.44140625" style="1" bestFit="1" customWidth="1"/>
    <col min="10860" max="10860" width="14.109375" style="1" bestFit="1" customWidth="1"/>
    <col min="10861" max="10861" width="11.44140625" style="1" bestFit="1" customWidth="1"/>
    <col min="10862" max="11105" width="11.44140625" style="1" customWidth="1"/>
    <col min="11106" max="11106" width="9.44140625" style="1" customWidth="1"/>
    <col min="11107" max="11107" width="51.44140625" style="1"/>
    <col min="11108" max="11108" width="8.6640625" style="1" customWidth="1"/>
    <col min="11109" max="11109" width="50.6640625" style="1" customWidth="1"/>
    <col min="11110" max="11110" width="22.6640625" style="1" customWidth="1"/>
    <col min="11111" max="11111" width="7.6640625" style="1" customWidth="1"/>
    <col min="11112" max="11112" width="10.6640625" style="1" customWidth="1"/>
    <col min="11113" max="11113" width="16.44140625" style="1" customWidth="1"/>
    <col min="11114" max="11114" width="18.6640625" style="1" customWidth="1"/>
    <col min="11115" max="11115" width="11.44140625" style="1" bestFit="1" customWidth="1"/>
    <col min="11116" max="11116" width="14.109375" style="1" bestFit="1" customWidth="1"/>
    <col min="11117" max="11117" width="11.44140625" style="1" bestFit="1" customWidth="1"/>
    <col min="11118" max="11361" width="11.44140625" style="1" customWidth="1"/>
    <col min="11362" max="11362" width="9.44140625" style="1" customWidth="1"/>
    <col min="11363" max="11363" width="51.44140625" style="1"/>
    <col min="11364" max="11364" width="8.6640625" style="1" customWidth="1"/>
    <col min="11365" max="11365" width="50.6640625" style="1" customWidth="1"/>
    <col min="11366" max="11366" width="22.6640625" style="1" customWidth="1"/>
    <col min="11367" max="11367" width="7.6640625" style="1" customWidth="1"/>
    <col min="11368" max="11368" width="10.6640625" style="1" customWidth="1"/>
    <col min="11369" max="11369" width="16.44140625" style="1" customWidth="1"/>
    <col min="11370" max="11370" width="18.6640625" style="1" customWidth="1"/>
    <col min="11371" max="11371" width="11.44140625" style="1" bestFit="1" customWidth="1"/>
    <col min="11372" max="11372" width="14.109375" style="1" bestFit="1" customWidth="1"/>
    <col min="11373" max="11373" width="11.44140625" style="1" bestFit="1" customWidth="1"/>
    <col min="11374" max="11617" width="11.44140625" style="1" customWidth="1"/>
    <col min="11618" max="11618" width="9.44140625" style="1" customWidth="1"/>
    <col min="11619" max="11619" width="51.44140625" style="1"/>
    <col min="11620" max="11620" width="8.6640625" style="1" customWidth="1"/>
    <col min="11621" max="11621" width="50.6640625" style="1" customWidth="1"/>
    <col min="11622" max="11622" width="22.6640625" style="1" customWidth="1"/>
    <col min="11623" max="11623" width="7.6640625" style="1" customWidth="1"/>
    <col min="11624" max="11624" width="10.6640625" style="1" customWidth="1"/>
    <col min="11625" max="11625" width="16.44140625" style="1" customWidth="1"/>
    <col min="11626" max="11626" width="18.6640625" style="1" customWidth="1"/>
    <col min="11627" max="11627" width="11.44140625" style="1" bestFit="1" customWidth="1"/>
    <col min="11628" max="11628" width="14.109375" style="1" bestFit="1" customWidth="1"/>
    <col min="11629" max="11629" width="11.44140625" style="1" bestFit="1" customWidth="1"/>
    <col min="11630" max="11873" width="11.44140625" style="1" customWidth="1"/>
    <col min="11874" max="11874" width="9.44140625" style="1" customWidth="1"/>
    <col min="11875" max="11875" width="51.44140625" style="1"/>
    <col min="11876" max="11876" width="8.6640625" style="1" customWidth="1"/>
    <col min="11877" max="11877" width="50.6640625" style="1" customWidth="1"/>
    <col min="11878" max="11878" width="22.6640625" style="1" customWidth="1"/>
    <col min="11879" max="11879" width="7.6640625" style="1" customWidth="1"/>
    <col min="11880" max="11880" width="10.6640625" style="1" customWidth="1"/>
    <col min="11881" max="11881" width="16.44140625" style="1" customWidth="1"/>
    <col min="11882" max="11882" width="18.6640625" style="1" customWidth="1"/>
    <col min="11883" max="11883" width="11.44140625" style="1" bestFit="1" customWidth="1"/>
    <col min="11884" max="11884" width="14.109375" style="1" bestFit="1" customWidth="1"/>
    <col min="11885" max="11885" width="11.44140625" style="1" bestFit="1" customWidth="1"/>
    <col min="11886" max="12129" width="11.44140625" style="1" customWidth="1"/>
    <col min="12130" max="12130" width="9.44140625" style="1" customWidth="1"/>
    <col min="12131" max="12131" width="51.44140625" style="1"/>
    <col min="12132" max="12132" width="8.6640625" style="1" customWidth="1"/>
    <col min="12133" max="12133" width="50.6640625" style="1" customWidth="1"/>
    <col min="12134" max="12134" width="22.6640625" style="1" customWidth="1"/>
    <col min="12135" max="12135" width="7.6640625" style="1" customWidth="1"/>
    <col min="12136" max="12136" width="10.6640625" style="1" customWidth="1"/>
    <col min="12137" max="12137" width="16.44140625" style="1" customWidth="1"/>
    <col min="12138" max="12138" width="18.6640625" style="1" customWidth="1"/>
    <col min="12139" max="12139" width="11.44140625" style="1" bestFit="1" customWidth="1"/>
    <col min="12140" max="12140" width="14.109375" style="1" bestFit="1" customWidth="1"/>
    <col min="12141" max="12141" width="11.44140625" style="1" bestFit="1" customWidth="1"/>
    <col min="12142" max="12385" width="11.44140625" style="1" customWidth="1"/>
    <col min="12386" max="12386" width="9.44140625" style="1" customWidth="1"/>
    <col min="12387" max="12387" width="51.44140625" style="1"/>
    <col min="12388" max="12388" width="8.6640625" style="1" customWidth="1"/>
    <col min="12389" max="12389" width="50.6640625" style="1" customWidth="1"/>
    <col min="12390" max="12390" width="22.6640625" style="1" customWidth="1"/>
    <col min="12391" max="12391" width="7.6640625" style="1" customWidth="1"/>
    <col min="12392" max="12392" width="10.6640625" style="1" customWidth="1"/>
    <col min="12393" max="12393" width="16.44140625" style="1" customWidth="1"/>
    <col min="12394" max="12394" width="18.6640625" style="1" customWidth="1"/>
    <col min="12395" max="12395" width="11.44140625" style="1" bestFit="1" customWidth="1"/>
    <col min="12396" max="12396" width="14.109375" style="1" bestFit="1" customWidth="1"/>
    <col min="12397" max="12397" width="11.44140625" style="1" bestFit="1" customWidth="1"/>
    <col min="12398" max="12641" width="11.44140625" style="1" customWidth="1"/>
    <col min="12642" max="12642" width="9.44140625" style="1" customWidth="1"/>
    <col min="12643" max="12643" width="51.44140625" style="1"/>
    <col min="12644" max="12644" width="8.6640625" style="1" customWidth="1"/>
    <col min="12645" max="12645" width="50.6640625" style="1" customWidth="1"/>
    <col min="12646" max="12646" width="22.6640625" style="1" customWidth="1"/>
    <col min="12647" max="12647" width="7.6640625" style="1" customWidth="1"/>
    <col min="12648" max="12648" width="10.6640625" style="1" customWidth="1"/>
    <col min="12649" max="12649" width="16.44140625" style="1" customWidth="1"/>
    <col min="12650" max="12650" width="18.6640625" style="1" customWidth="1"/>
    <col min="12651" max="12651" width="11.44140625" style="1" bestFit="1" customWidth="1"/>
    <col min="12652" max="12652" width="14.109375" style="1" bestFit="1" customWidth="1"/>
    <col min="12653" max="12653" width="11.44140625" style="1" bestFit="1" customWidth="1"/>
    <col min="12654" max="12897" width="11.44140625" style="1" customWidth="1"/>
    <col min="12898" max="12898" width="9.44140625" style="1" customWidth="1"/>
    <col min="12899" max="12899" width="51.44140625" style="1"/>
    <col min="12900" max="12900" width="8.6640625" style="1" customWidth="1"/>
    <col min="12901" max="12901" width="50.6640625" style="1" customWidth="1"/>
    <col min="12902" max="12902" width="22.6640625" style="1" customWidth="1"/>
    <col min="12903" max="12903" width="7.6640625" style="1" customWidth="1"/>
    <col min="12904" max="12904" width="10.6640625" style="1" customWidth="1"/>
    <col min="12905" max="12905" width="16.44140625" style="1" customWidth="1"/>
    <col min="12906" max="12906" width="18.6640625" style="1" customWidth="1"/>
    <col min="12907" max="12907" width="11.44140625" style="1" bestFit="1" customWidth="1"/>
    <col min="12908" max="12908" width="14.109375" style="1" bestFit="1" customWidth="1"/>
    <col min="12909" max="12909" width="11.44140625" style="1" bestFit="1" customWidth="1"/>
    <col min="12910" max="13153" width="11.44140625" style="1" customWidth="1"/>
    <col min="13154" max="13154" width="9.44140625" style="1" customWidth="1"/>
    <col min="13155" max="13155" width="51.44140625" style="1"/>
    <col min="13156" max="13156" width="8.6640625" style="1" customWidth="1"/>
    <col min="13157" max="13157" width="50.6640625" style="1" customWidth="1"/>
    <col min="13158" max="13158" width="22.6640625" style="1" customWidth="1"/>
    <col min="13159" max="13159" width="7.6640625" style="1" customWidth="1"/>
    <col min="13160" max="13160" width="10.6640625" style="1" customWidth="1"/>
    <col min="13161" max="13161" width="16.44140625" style="1" customWidth="1"/>
    <col min="13162" max="13162" width="18.6640625" style="1" customWidth="1"/>
    <col min="13163" max="13163" width="11.44140625" style="1" bestFit="1" customWidth="1"/>
    <col min="13164" max="13164" width="14.109375" style="1" bestFit="1" customWidth="1"/>
    <col min="13165" max="13165" width="11.44140625" style="1" bestFit="1" customWidth="1"/>
    <col min="13166" max="13409" width="11.44140625" style="1" customWidth="1"/>
    <col min="13410" max="13410" width="9.44140625" style="1" customWidth="1"/>
    <col min="13411" max="13411" width="51.44140625" style="1"/>
    <col min="13412" max="13412" width="8.6640625" style="1" customWidth="1"/>
    <col min="13413" max="13413" width="50.6640625" style="1" customWidth="1"/>
    <col min="13414" max="13414" width="22.6640625" style="1" customWidth="1"/>
    <col min="13415" max="13415" width="7.6640625" style="1" customWidth="1"/>
    <col min="13416" max="13416" width="10.6640625" style="1" customWidth="1"/>
    <col min="13417" max="13417" width="16.44140625" style="1" customWidth="1"/>
    <col min="13418" max="13418" width="18.6640625" style="1" customWidth="1"/>
    <col min="13419" max="13419" width="11.44140625" style="1" bestFit="1" customWidth="1"/>
    <col min="13420" max="13420" width="14.109375" style="1" bestFit="1" customWidth="1"/>
    <col min="13421" max="13421" width="11.44140625" style="1" bestFit="1" customWidth="1"/>
    <col min="13422" max="13665" width="11.44140625" style="1" customWidth="1"/>
    <col min="13666" max="13666" width="9.44140625" style="1" customWidth="1"/>
    <col min="13667" max="13667" width="51.44140625" style="1"/>
    <col min="13668" max="13668" width="8.6640625" style="1" customWidth="1"/>
    <col min="13669" max="13669" width="50.6640625" style="1" customWidth="1"/>
    <col min="13670" max="13670" width="22.6640625" style="1" customWidth="1"/>
    <col min="13671" max="13671" width="7.6640625" style="1" customWidth="1"/>
    <col min="13672" max="13672" width="10.6640625" style="1" customWidth="1"/>
    <col min="13673" max="13673" width="16.44140625" style="1" customWidth="1"/>
    <col min="13674" max="13674" width="18.6640625" style="1" customWidth="1"/>
    <col min="13675" max="13675" width="11.44140625" style="1" bestFit="1" customWidth="1"/>
    <col min="13676" max="13676" width="14.109375" style="1" bestFit="1" customWidth="1"/>
    <col min="13677" max="13677" width="11.44140625" style="1" bestFit="1" customWidth="1"/>
    <col min="13678" max="13921" width="11.44140625" style="1" customWidth="1"/>
    <col min="13922" max="13922" width="9.44140625" style="1" customWidth="1"/>
    <col min="13923" max="13923" width="51.44140625" style="1"/>
    <col min="13924" max="13924" width="8.6640625" style="1" customWidth="1"/>
    <col min="13925" max="13925" width="50.6640625" style="1" customWidth="1"/>
    <col min="13926" max="13926" width="22.6640625" style="1" customWidth="1"/>
    <col min="13927" max="13927" width="7.6640625" style="1" customWidth="1"/>
    <col min="13928" max="13928" width="10.6640625" style="1" customWidth="1"/>
    <col min="13929" max="13929" width="16.44140625" style="1" customWidth="1"/>
    <col min="13930" max="13930" width="18.6640625" style="1" customWidth="1"/>
    <col min="13931" max="13931" width="11.44140625" style="1" bestFit="1" customWidth="1"/>
    <col min="13932" max="13932" width="14.109375" style="1" bestFit="1" customWidth="1"/>
    <col min="13933" max="13933" width="11.44140625" style="1" bestFit="1" customWidth="1"/>
    <col min="13934" max="14177" width="11.44140625" style="1" customWidth="1"/>
    <col min="14178" max="14178" width="9.44140625" style="1" customWidth="1"/>
    <col min="14179" max="14179" width="51.44140625" style="1"/>
    <col min="14180" max="14180" width="8.6640625" style="1" customWidth="1"/>
    <col min="14181" max="14181" width="50.6640625" style="1" customWidth="1"/>
    <col min="14182" max="14182" width="22.6640625" style="1" customWidth="1"/>
    <col min="14183" max="14183" width="7.6640625" style="1" customWidth="1"/>
    <col min="14184" max="14184" width="10.6640625" style="1" customWidth="1"/>
    <col min="14185" max="14185" width="16.44140625" style="1" customWidth="1"/>
    <col min="14186" max="14186" width="18.6640625" style="1" customWidth="1"/>
    <col min="14187" max="14187" width="11.44140625" style="1" bestFit="1" customWidth="1"/>
    <col min="14188" max="14188" width="14.109375" style="1" bestFit="1" customWidth="1"/>
    <col min="14189" max="14189" width="11.44140625" style="1" bestFit="1" customWidth="1"/>
    <col min="14190" max="14433" width="11.44140625" style="1" customWidth="1"/>
    <col min="14434" max="14434" width="9.44140625" style="1" customWidth="1"/>
    <col min="14435" max="14435" width="51.44140625" style="1"/>
    <col min="14436" max="14436" width="8.6640625" style="1" customWidth="1"/>
    <col min="14437" max="14437" width="50.6640625" style="1" customWidth="1"/>
    <col min="14438" max="14438" width="22.6640625" style="1" customWidth="1"/>
    <col min="14439" max="14439" width="7.6640625" style="1" customWidth="1"/>
    <col min="14440" max="14440" width="10.6640625" style="1" customWidth="1"/>
    <col min="14441" max="14441" width="16.44140625" style="1" customWidth="1"/>
    <col min="14442" max="14442" width="18.6640625" style="1" customWidth="1"/>
    <col min="14443" max="14443" width="11.44140625" style="1" bestFit="1" customWidth="1"/>
    <col min="14444" max="14444" width="14.109375" style="1" bestFit="1" customWidth="1"/>
    <col min="14445" max="14445" width="11.44140625" style="1" bestFit="1" customWidth="1"/>
    <col min="14446" max="14689" width="11.44140625" style="1" customWidth="1"/>
    <col min="14690" max="14690" width="9.44140625" style="1" customWidth="1"/>
    <col min="14691" max="14691" width="51.44140625" style="1"/>
    <col min="14692" max="14692" width="8.6640625" style="1" customWidth="1"/>
    <col min="14693" max="14693" width="50.6640625" style="1" customWidth="1"/>
    <col min="14694" max="14694" width="22.6640625" style="1" customWidth="1"/>
    <col min="14695" max="14695" width="7.6640625" style="1" customWidth="1"/>
    <col min="14696" max="14696" width="10.6640625" style="1" customWidth="1"/>
    <col min="14697" max="14697" width="16.44140625" style="1" customWidth="1"/>
    <col min="14698" max="14698" width="18.6640625" style="1" customWidth="1"/>
    <col min="14699" max="14699" width="11.44140625" style="1" bestFit="1" customWidth="1"/>
    <col min="14700" max="14700" width="14.109375" style="1" bestFit="1" customWidth="1"/>
    <col min="14701" max="14701" width="11.44140625" style="1" bestFit="1" customWidth="1"/>
    <col min="14702" max="14945" width="11.44140625" style="1" customWidth="1"/>
    <col min="14946" max="14946" width="9.44140625" style="1" customWidth="1"/>
    <col min="14947" max="14947" width="51.44140625" style="1"/>
    <col min="14948" max="14948" width="8.6640625" style="1" customWidth="1"/>
    <col min="14949" max="14949" width="50.6640625" style="1" customWidth="1"/>
    <col min="14950" max="14950" width="22.6640625" style="1" customWidth="1"/>
    <col min="14951" max="14951" width="7.6640625" style="1" customWidth="1"/>
    <col min="14952" max="14952" width="10.6640625" style="1" customWidth="1"/>
    <col min="14953" max="14953" width="16.44140625" style="1" customWidth="1"/>
    <col min="14954" max="14954" width="18.6640625" style="1" customWidth="1"/>
    <col min="14955" max="14955" width="11.44140625" style="1" bestFit="1" customWidth="1"/>
    <col min="14956" max="14956" width="14.109375" style="1" bestFit="1" customWidth="1"/>
    <col min="14957" max="14957" width="11.44140625" style="1" bestFit="1" customWidth="1"/>
    <col min="14958" max="15201" width="11.44140625" style="1" customWidth="1"/>
    <col min="15202" max="15202" width="9.44140625" style="1" customWidth="1"/>
    <col min="15203" max="15203" width="51.44140625" style="1"/>
    <col min="15204" max="15204" width="8.6640625" style="1" customWidth="1"/>
    <col min="15205" max="15205" width="50.6640625" style="1" customWidth="1"/>
    <col min="15206" max="15206" width="22.6640625" style="1" customWidth="1"/>
    <col min="15207" max="15207" width="7.6640625" style="1" customWidth="1"/>
    <col min="15208" max="15208" width="10.6640625" style="1" customWidth="1"/>
    <col min="15209" max="15209" width="16.44140625" style="1" customWidth="1"/>
    <col min="15210" max="15210" width="18.6640625" style="1" customWidth="1"/>
    <col min="15211" max="15211" width="11.44140625" style="1" bestFit="1" customWidth="1"/>
    <col min="15212" max="15212" width="14.109375" style="1" bestFit="1" customWidth="1"/>
    <col min="15213" max="15213" width="11.44140625" style="1" bestFit="1" customWidth="1"/>
    <col min="15214" max="15457" width="11.44140625" style="1" customWidth="1"/>
    <col min="15458" max="15458" width="9.44140625" style="1" customWidth="1"/>
    <col min="15459" max="15459" width="51.44140625" style="1"/>
    <col min="15460" max="15460" width="8.6640625" style="1" customWidth="1"/>
    <col min="15461" max="15461" width="50.6640625" style="1" customWidth="1"/>
    <col min="15462" max="15462" width="22.6640625" style="1" customWidth="1"/>
    <col min="15463" max="15463" width="7.6640625" style="1" customWidth="1"/>
    <col min="15464" max="15464" width="10.6640625" style="1" customWidth="1"/>
    <col min="15465" max="15465" width="16.44140625" style="1" customWidth="1"/>
    <col min="15466" max="15466" width="18.6640625" style="1" customWidth="1"/>
    <col min="15467" max="15467" width="11.44140625" style="1" bestFit="1" customWidth="1"/>
    <col min="15468" max="15468" width="14.109375" style="1" bestFit="1" customWidth="1"/>
    <col min="15469" max="15469" width="11.44140625" style="1" bestFit="1" customWidth="1"/>
    <col min="15470" max="15713" width="11.44140625" style="1" customWidth="1"/>
    <col min="15714" max="15714" width="9.44140625" style="1" customWidth="1"/>
    <col min="15715" max="15715" width="51.44140625" style="1"/>
    <col min="15716" max="15716" width="8.6640625" style="1" customWidth="1"/>
    <col min="15717" max="15717" width="50.6640625" style="1" customWidth="1"/>
    <col min="15718" max="15718" width="22.6640625" style="1" customWidth="1"/>
    <col min="15719" max="15719" width="7.6640625" style="1" customWidth="1"/>
    <col min="15720" max="15720" width="10.6640625" style="1" customWidth="1"/>
    <col min="15721" max="15721" width="16.44140625" style="1" customWidth="1"/>
    <col min="15722" max="15722" width="18.6640625" style="1" customWidth="1"/>
    <col min="15723" max="15723" width="11.44140625" style="1" bestFit="1" customWidth="1"/>
    <col min="15724" max="15724" width="14.109375" style="1" bestFit="1" customWidth="1"/>
    <col min="15725" max="15725" width="11.44140625" style="1" bestFit="1" customWidth="1"/>
    <col min="15726" max="15969" width="11.44140625" style="1" customWidth="1"/>
    <col min="15970" max="15970" width="9.44140625" style="1" customWidth="1"/>
    <col min="15971" max="15971" width="51.44140625" style="1"/>
    <col min="15972" max="15972" width="8.6640625" style="1" customWidth="1"/>
    <col min="15973" max="15973" width="50.6640625" style="1" customWidth="1"/>
    <col min="15974" max="15974" width="22.6640625" style="1" customWidth="1"/>
    <col min="15975" max="15975" width="7.6640625" style="1" customWidth="1"/>
    <col min="15976" max="15976" width="10.6640625" style="1" customWidth="1"/>
    <col min="15977" max="15977" width="16.44140625" style="1" customWidth="1"/>
    <col min="15978" max="15978" width="18.6640625" style="1" customWidth="1"/>
    <col min="15979" max="15979" width="11.44140625" style="1" bestFit="1" customWidth="1"/>
    <col min="15980" max="15980" width="14.109375" style="1" bestFit="1" customWidth="1"/>
    <col min="15981" max="15981" width="11.44140625" style="1" bestFit="1" customWidth="1"/>
    <col min="15982" max="16225" width="11.44140625" style="1" customWidth="1"/>
    <col min="16226" max="16226" width="9.44140625" style="1" customWidth="1"/>
    <col min="16227" max="16384" width="51.44140625" style="1"/>
  </cols>
  <sheetData>
    <row r="7" spans="1:23" ht="14.25" customHeight="1" x14ac:dyDescent="0.25">
      <c r="A7" s="342"/>
      <c r="B7" s="342"/>
      <c r="C7" s="342"/>
      <c r="D7" s="342"/>
      <c r="E7" s="342"/>
      <c r="F7" s="342"/>
      <c r="G7" s="104"/>
      <c r="H7" s="104"/>
      <c r="I7" s="104"/>
    </row>
    <row r="8" spans="1:23" ht="14.25" customHeight="1" x14ac:dyDescent="0.25">
      <c r="A8" s="27"/>
      <c r="B8" s="27"/>
      <c r="C8" s="104"/>
      <c r="D8" s="196"/>
      <c r="E8" s="197"/>
      <c r="F8" s="196"/>
      <c r="G8" s="104"/>
      <c r="H8" s="104"/>
      <c r="I8" s="104"/>
    </row>
    <row r="9" spans="1:23" ht="14.25" customHeight="1" thickBot="1" x14ac:dyDescent="0.3">
      <c r="A9" s="27"/>
      <c r="B9" s="27"/>
      <c r="C9" s="104"/>
      <c r="D9" s="196"/>
      <c r="E9" s="197"/>
      <c r="F9" s="196"/>
      <c r="G9" s="104"/>
      <c r="H9" s="104"/>
      <c r="I9" s="104"/>
    </row>
    <row r="10" spans="1:23" s="33" customFormat="1" ht="15" thickTop="1" x14ac:dyDescent="0.25">
      <c r="A10" s="343" t="s">
        <v>0</v>
      </c>
      <c r="B10" s="345" t="s">
        <v>1</v>
      </c>
      <c r="C10" s="337" t="s">
        <v>55</v>
      </c>
      <c r="D10" s="348" t="s">
        <v>56</v>
      </c>
      <c r="E10" s="349"/>
      <c r="F10" s="349"/>
      <c r="G10" s="349"/>
      <c r="H10" s="349"/>
      <c r="I10" s="350"/>
      <c r="J10" s="337" t="s">
        <v>57</v>
      </c>
      <c r="K10" s="337"/>
      <c r="L10" s="337"/>
      <c r="M10" s="337"/>
      <c r="N10" s="338" t="s">
        <v>2</v>
      </c>
      <c r="O10" s="340" t="s">
        <v>58</v>
      </c>
      <c r="P10" s="85"/>
      <c r="Q10" s="126"/>
      <c r="R10" s="126"/>
      <c r="S10" s="126"/>
      <c r="T10" s="85"/>
      <c r="U10" s="85"/>
      <c r="V10" s="85"/>
      <c r="W10" s="85"/>
    </row>
    <row r="11" spans="1:23" s="45" customFormat="1" ht="31.5" customHeight="1" x14ac:dyDescent="0.25">
      <c r="A11" s="344"/>
      <c r="B11" s="346"/>
      <c r="C11" s="347"/>
      <c r="D11" s="56" t="s">
        <v>119</v>
      </c>
      <c r="E11" s="132" t="s">
        <v>120</v>
      </c>
      <c r="F11" s="56" t="s">
        <v>121</v>
      </c>
      <c r="G11" s="56" t="s">
        <v>128</v>
      </c>
      <c r="H11" s="56" t="s">
        <v>193</v>
      </c>
      <c r="I11" s="56" t="s">
        <v>195</v>
      </c>
      <c r="J11" s="56" t="s">
        <v>59</v>
      </c>
      <c r="K11" s="56" t="s">
        <v>60</v>
      </c>
      <c r="L11" s="56" t="s">
        <v>262</v>
      </c>
      <c r="M11" s="57" t="s">
        <v>61</v>
      </c>
      <c r="N11" s="339"/>
      <c r="O11" s="341"/>
      <c r="P11" s="86"/>
      <c r="Q11" s="127"/>
      <c r="R11" s="127"/>
      <c r="S11" s="127"/>
      <c r="T11" s="86"/>
      <c r="U11" s="86"/>
      <c r="V11" s="86"/>
      <c r="W11" s="86"/>
    </row>
    <row r="12" spans="1:23" s="33" customFormat="1" ht="14.4" x14ac:dyDescent="0.3">
      <c r="A12" s="28" t="s">
        <v>4</v>
      </c>
      <c r="B12" s="29" t="s">
        <v>154</v>
      </c>
      <c r="C12" s="30"/>
      <c r="D12" s="198"/>
      <c r="E12" s="133"/>
      <c r="F12" s="31"/>
      <c r="G12" s="31"/>
      <c r="H12" s="31"/>
      <c r="I12" s="31"/>
      <c r="J12" s="106"/>
      <c r="K12" s="106"/>
      <c r="L12" s="106"/>
      <c r="M12" s="89"/>
      <c r="N12" s="96"/>
      <c r="O12" s="32"/>
      <c r="P12" s="85"/>
      <c r="Q12" s="126"/>
      <c r="R12" s="126"/>
      <c r="S12" s="126"/>
      <c r="T12" s="85"/>
      <c r="U12" s="85"/>
      <c r="V12" s="85"/>
      <c r="W12" s="85"/>
    </row>
    <row r="13" spans="1:23" s="33" customFormat="1" ht="14.4" x14ac:dyDescent="0.3">
      <c r="A13" s="28"/>
      <c r="B13" s="181" t="s">
        <v>263</v>
      </c>
      <c r="C13" s="30"/>
      <c r="D13" s="198"/>
      <c r="E13" s="133"/>
      <c r="F13" s="31"/>
      <c r="G13" s="31"/>
      <c r="H13" s="31"/>
      <c r="I13" s="31"/>
      <c r="J13" s="106"/>
      <c r="K13" s="106"/>
      <c r="L13" s="106"/>
      <c r="M13" s="89"/>
      <c r="N13" s="96"/>
      <c r="O13" s="32"/>
      <c r="P13" s="85"/>
      <c r="Q13" s="126"/>
      <c r="R13" s="126"/>
      <c r="S13" s="126"/>
      <c r="T13" s="85"/>
      <c r="U13" s="85"/>
      <c r="V13" s="85"/>
      <c r="W13" s="85"/>
    </row>
    <row r="14" spans="1:23" s="33" customFormat="1" ht="14.4" x14ac:dyDescent="0.3">
      <c r="A14" s="28"/>
      <c r="B14" s="180"/>
      <c r="C14" s="30"/>
      <c r="D14" s="198"/>
      <c r="E14" s="133"/>
      <c r="F14" s="31"/>
      <c r="G14" s="31"/>
      <c r="H14" s="31"/>
      <c r="I14" s="31"/>
      <c r="J14" s="106"/>
      <c r="K14" s="106"/>
      <c r="L14" s="106"/>
      <c r="M14" s="89"/>
      <c r="N14" s="179"/>
      <c r="O14" s="32"/>
      <c r="P14" s="85"/>
      <c r="Q14" s="126"/>
      <c r="R14" s="126"/>
      <c r="S14" s="126"/>
      <c r="T14" s="85"/>
      <c r="U14" s="85"/>
      <c r="V14" s="85"/>
      <c r="W14" s="85"/>
    </row>
    <row r="15" spans="1:23" s="33" customFormat="1" ht="14.4" x14ac:dyDescent="0.3">
      <c r="A15" s="28"/>
      <c r="B15" s="181" t="s">
        <v>264</v>
      </c>
      <c r="C15" s="30"/>
      <c r="D15" s="198"/>
      <c r="E15" s="133"/>
      <c r="F15" s="31"/>
      <c r="G15" s="31"/>
      <c r="H15" s="31"/>
      <c r="I15" s="31"/>
      <c r="J15" s="106"/>
      <c r="K15" s="106"/>
      <c r="L15" s="106"/>
      <c r="M15" s="89"/>
      <c r="N15" s="96"/>
      <c r="O15" s="32"/>
      <c r="P15" s="85"/>
      <c r="Q15" s="126"/>
      <c r="R15" s="126"/>
      <c r="S15" s="126"/>
      <c r="T15" s="85"/>
      <c r="U15" s="85"/>
      <c r="V15" s="85"/>
      <c r="W15" s="85"/>
    </row>
    <row r="16" spans="1:23" s="33" customFormat="1" ht="14.4" x14ac:dyDescent="0.3">
      <c r="A16" s="28"/>
      <c r="B16" s="180"/>
      <c r="C16" s="30"/>
      <c r="D16" s="198"/>
      <c r="E16" s="133"/>
      <c r="F16" s="31"/>
      <c r="G16" s="31"/>
      <c r="H16" s="31"/>
      <c r="I16" s="31"/>
      <c r="J16" s="106"/>
      <c r="K16" s="106"/>
      <c r="L16" s="106"/>
      <c r="M16" s="89"/>
      <c r="N16" s="179"/>
      <c r="O16" s="32"/>
      <c r="P16" s="85"/>
      <c r="Q16" s="126"/>
      <c r="R16" s="126"/>
      <c r="S16" s="126"/>
      <c r="T16" s="85"/>
      <c r="U16" s="85"/>
      <c r="V16" s="85"/>
      <c r="W16" s="85"/>
    </row>
    <row r="17" spans="1:23" s="33" customFormat="1" ht="14.4" x14ac:dyDescent="0.3">
      <c r="A17" s="28"/>
      <c r="B17" s="181" t="s">
        <v>265</v>
      </c>
      <c r="C17" s="30"/>
      <c r="D17" s="198"/>
      <c r="E17" s="133"/>
      <c r="F17" s="31"/>
      <c r="G17" s="31"/>
      <c r="H17" s="31"/>
      <c r="I17" s="31"/>
      <c r="J17" s="106"/>
      <c r="K17" s="106"/>
      <c r="L17" s="106"/>
      <c r="M17" s="89"/>
      <c r="N17" s="96"/>
      <c r="O17" s="32"/>
      <c r="P17" s="85"/>
      <c r="Q17" s="126"/>
      <c r="R17" s="126"/>
      <c r="S17" s="126"/>
      <c r="T17" s="85"/>
      <c r="U17" s="85"/>
      <c r="V17" s="85"/>
      <c r="W17" s="85"/>
    </row>
    <row r="18" spans="1:23" s="33" customFormat="1" ht="14.4" x14ac:dyDescent="0.3">
      <c r="A18" s="28"/>
      <c r="B18" s="180"/>
      <c r="C18" s="30"/>
      <c r="D18" s="198"/>
      <c r="E18" s="133"/>
      <c r="F18" s="31"/>
      <c r="G18" s="31"/>
      <c r="H18" s="31"/>
      <c r="I18" s="31"/>
      <c r="J18" s="106"/>
      <c r="K18" s="106"/>
      <c r="L18" s="106"/>
      <c r="M18" s="89"/>
      <c r="N18" s="179"/>
      <c r="O18" s="32"/>
      <c r="P18" s="85"/>
      <c r="Q18" s="126"/>
      <c r="R18" s="126"/>
      <c r="S18" s="126"/>
      <c r="T18" s="85"/>
      <c r="U18" s="85"/>
      <c r="V18" s="85"/>
      <c r="W18" s="85"/>
    </row>
    <row r="19" spans="1:23" s="33" customFormat="1" ht="14.4" x14ac:dyDescent="0.3">
      <c r="A19" s="28"/>
      <c r="B19" s="181" t="s">
        <v>267</v>
      </c>
      <c r="C19" s="30"/>
      <c r="D19" s="198"/>
      <c r="E19" s="133"/>
      <c r="F19" s="31"/>
      <c r="G19" s="31"/>
      <c r="H19" s="31"/>
      <c r="I19" s="31"/>
      <c r="J19" s="106"/>
      <c r="K19" s="106"/>
      <c r="L19" s="106"/>
      <c r="M19" s="89"/>
      <c r="N19" s="96"/>
      <c r="O19" s="32"/>
      <c r="P19" s="85"/>
      <c r="Q19" s="126"/>
      <c r="R19" s="126"/>
      <c r="S19" s="126"/>
      <c r="T19" s="85"/>
      <c r="U19" s="85"/>
      <c r="V19" s="85"/>
      <c r="W19" s="85"/>
    </row>
    <row r="20" spans="1:23" s="33" customFormat="1" ht="14.4" x14ac:dyDescent="0.3">
      <c r="A20" s="28"/>
      <c r="B20" s="29"/>
      <c r="C20" s="30"/>
      <c r="D20" s="198"/>
      <c r="E20" s="133"/>
      <c r="F20" s="31"/>
      <c r="G20" s="31"/>
      <c r="H20" s="31"/>
      <c r="I20" s="31"/>
      <c r="J20" s="106"/>
      <c r="K20" s="106"/>
      <c r="L20" s="106"/>
      <c r="M20" s="89"/>
      <c r="N20" s="96"/>
      <c r="O20" s="32"/>
      <c r="P20" s="85"/>
      <c r="Q20" s="126"/>
      <c r="R20" s="126"/>
      <c r="S20" s="126"/>
      <c r="T20" s="85"/>
      <c r="U20" s="85"/>
      <c r="V20" s="85"/>
      <c r="W20" s="85"/>
    </row>
    <row r="21" spans="1:23" s="33" customFormat="1" ht="14.4" x14ac:dyDescent="0.3">
      <c r="A21" s="28"/>
      <c r="B21" s="181" t="s">
        <v>268</v>
      </c>
      <c r="C21" s="30"/>
      <c r="D21" s="198"/>
      <c r="E21" s="133"/>
      <c r="F21" s="31"/>
      <c r="G21" s="31"/>
      <c r="H21" s="31"/>
      <c r="I21" s="31"/>
      <c r="J21" s="106"/>
      <c r="K21" s="106"/>
      <c r="L21" s="106"/>
      <c r="M21" s="89"/>
      <c r="N21" s="96"/>
      <c r="O21" s="32"/>
      <c r="P21" s="85"/>
      <c r="Q21" s="126"/>
      <c r="R21" s="126"/>
      <c r="S21" s="126"/>
      <c r="T21" s="85"/>
      <c r="U21" s="85"/>
      <c r="V21" s="85"/>
      <c r="W21" s="85"/>
    </row>
    <row r="22" spans="1:23" s="33" customFormat="1" ht="14.4" x14ac:dyDescent="0.3">
      <c r="A22" s="28"/>
      <c r="B22" s="29"/>
      <c r="C22" s="30"/>
      <c r="D22" s="198"/>
      <c r="E22" s="133"/>
      <c r="F22" s="31"/>
      <c r="G22" s="31"/>
      <c r="H22" s="31"/>
      <c r="I22" s="31"/>
      <c r="J22" s="106"/>
      <c r="K22" s="106"/>
      <c r="L22" s="106"/>
      <c r="M22" s="89"/>
      <c r="N22" s="96"/>
      <c r="O22" s="32"/>
      <c r="P22" s="85"/>
      <c r="Q22" s="126"/>
      <c r="R22" s="126"/>
      <c r="S22" s="126"/>
      <c r="T22" s="85"/>
      <c r="U22" s="85"/>
      <c r="V22" s="85"/>
      <c r="W22" s="85"/>
    </row>
    <row r="23" spans="1:23" s="33" customFormat="1" ht="14.4" x14ac:dyDescent="0.3">
      <c r="A23" s="28"/>
      <c r="B23" s="181" t="s">
        <v>269</v>
      </c>
      <c r="C23" s="30"/>
      <c r="D23" s="198"/>
      <c r="E23" s="133"/>
      <c r="F23" s="31"/>
      <c r="G23" s="31"/>
      <c r="H23" s="31"/>
      <c r="I23" s="31"/>
      <c r="J23" s="106"/>
      <c r="K23" s="106"/>
      <c r="L23" s="106"/>
      <c r="M23" s="89"/>
      <c r="N23" s="96"/>
      <c r="O23" s="32"/>
      <c r="P23" s="85"/>
      <c r="Q23" s="126"/>
      <c r="R23" s="126"/>
      <c r="S23" s="126"/>
      <c r="T23" s="85"/>
      <c r="U23" s="85"/>
      <c r="V23" s="85"/>
      <c r="W23" s="85"/>
    </row>
    <row r="24" spans="1:23" s="33" customFormat="1" ht="14.4" x14ac:dyDescent="0.3">
      <c r="A24" s="28"/>
      <c r="B24" s="29"/>
      <c r="C24" s="30"/>
      <c r="D24" s="198"/>
      <c r="E24" s="133"/>
      <c r="F24" s="31"/>
      <c r="G24" s="31"/>
      <c r="H24" s="31"/>
      <c r="I24" s="31"/>
      <c r="J24" s="106"/>
      <c r="K24" s="106"/>
      <c r="L24" s="106"/>
      <c r="M24" s="89"/>
      <c r="N24" s="96"/>
      <c r="O24" s="32"/>
      <c r="P24" s="85"/>
      <c r="Q24" s="126"/>
      <c r="R24" s="126"/>
      <c r="S24" s="126"/>
      <c r="T24" s="85"/>
      <c r="U24" s="85"/>
      <c r="V24" s="85"/>
      <c r="W24" s="85"/>
    </row>
    <row r="25" spans="1:23" s="33" customFormat="1" ht="14.4" x14ac:dyDescent="0.3">
      <c r="A25" s="28"/>
      <c r="B25" s="181" t="s">
        <v>270</v>
      </c>
      <c r="C25" s="30"/>
      <c r="D25" s="198"/>
      <c r="E25" s="133"/>
      <c r="F25" s="31"/>
      <c r="G25" s="31"/>
      <c r="H25" s="31"/>
      <c r="I25" s="31"/>
      <c r="J25" s="106"/>
      <c r="K25" s="106"/>
      <c r="L25" s="106"/>
      <c r="M25" s="89"/>
      <c r="N25" s="96"/>
      <c r="O25" s="32"/>
      <c r="P25" s="85"/>
      <c r="Q25" s="126"/>
      <c r="R25" s="126"/>
      <c r="S25" s="126"/>
      <c r="T25" s="85"/>
      <c r="U25" s="85"/>
      <c r="V25" s="85"/>
      <c r="W25" s="85"/>
    </row>
    <row r="26" spans="1:23" s="33" customFormat="1" ht="14.4" x14ac:dyDescent="0.3">
      <c r="A26" s="28"/>
      <c r="B26" s="29"/>
      <c r="C26" s="30"/>
      <c r="D26" s="198"/>
      <c r="E26" s="133"/>
      <c r="F26" s="31"/>
      <c r="G26" s="31"/>
      <c r="H26" s="31"/>
      <c r="I26" s="31"/>
      <c r="J26" s="106"/>
      <c r="K26" s="106"/>
      <c r="L26" s="106"/>
      <c r="M26" s="89"/>
      <c r="N26" s="96"/>
      <c r="O26" s="32"/>
      <c r="P26" s="85"/>
      <c r="Q26" s="126"/>
      <c r="R26" s="126"/>
      <c r="S26" s="126"/>
      <c r="T26" s="85"/>
      <c r="U26" s="85"/>
      <c r="V26" s="85"/>
      <c r="W26" s="85"/>
    </row>
    <row r="27" spans="1:23" s="33" customFormat="1" ht="14.4" x14ac:dyDescent="0.3">
      <c r="A27" s="28"/>
      <c r="B27" s="181" t="s">
        <v>271</v>
      </c>
      <c r="C27" s="30"/>
      <c r="D27" s="198"/>
      <c r="E27" s="133"/>
      <c r="F27" s="31"/>
      <c r="G27" s="31"/>
      <c r="H27" s="31"/>
      <c r="I27" s="31"/>
      <c r="J27" s="106"/>
      <c r="K27" s="106"/>
      <c r="L27" s="106"/>
      <c r="M27" s="89"/>
      <c r="N27" s="96"/>
      <c r="O27" s="32"/>
      <c r="P27" s="85"/>
      <c r="Q27" s="126"/>
      <c r="R27" s="126"/>
      <c r="S27" s="126"/>
      <c r="T27" s="85"/>
      <c r="U27" s="85"/>
      <c r="V27" s="85"/>
      <c r="W27" s="85"/>
    </row>
    <row r="28" spans="1:23" s="33" customFormat="1" ht="14.4" x14ac:dyDescent="0.3">
      <c r="A28" s="28"/>
      <c r="B28" s="29"/>
      <c r="C28" s="30"/>
      <c r="D28" s="198"/>
      <c r="E28" s="133"/>
      <c r="F28" s="31"/>
      <c r="G28" s="31"/>
      <c r="H28" s="31"/>
      <c r="I28" s="31"/>
      <c r="J28" s="106"/>
      <c r="K28" s="106"/>
      <c r="L28" s="106"/>
      <c r="M28" s="89"/>
      <c r="N28" s="96"/>
      <c r="O28" s="32"/>
      <c r="P28" s="85"/>
      <c r="Q28" s="126"/>
      <c r="R28" s="126"/>
      <c r="S28" s="126"/>
      <c r="T28" s="85"/>
      <c r="U28" s="85"/>
      <c r="V28" s="85"/>
      <c r="W28" s="85"/>
    </row>
    <row r="29" spans="1:23" s="33" customFormat="1" ht="14.4" x14ac:dyDescent="0.3">
      <c r="A29" s="28"/>
      <c r="B29" s="181" t="s">
        <v>272</v>
      </c>
      <c r="C29" s="30"/>
      <c r="D29" s="198"/>
      <c r="E29" s="133"/>
      <c r="F29" s="31"/>
      <c r="G29" s="31"/>
      <c r="H29" s="31"/>
      <c r="I29" s="31"/>
      <c r="J29" s="106"/>
      <c r="K29" s="106"/>
      <c r="L29" s="106"/>
      <c r="M29" s="89"/>
      <c r="N29" s="96"/>
      <c r="O29" s="32"/>
      <c r="P29" s="85"/>
      <c r="Q29" s="126"/>
      <c r="R29" s="126"/>
      <c r="S29" s="126"/>
      <c r="T29" s="85"/>
      <c r="U29" s="85"/>
      <c r="V29" s="85"/>
      <c r="W29" s="85"/>
    </row>
    <row r="30" spans="1:23" s="33" customFormat="1" ht="14.4" x14ac:dyDescent="0.3">
      <c r="A30" s="28"/>
      <c r="B30" s="29"/>
      <c r="C30" s="30"/>
      <c r="D30" s="198"/>
      <c r="E30" s="133"/>
      <c r="F30" s="31"/>
      <c r="G30" s="31"/>
      <c r="H30" s="31"/>
      <c r="I30" s="31"/>
      <c r="J30" s="106"/>
      <c r="K30" s="106"/>
      <c r="L30" s="106"/>
      <c r="M30" s="89"/>
      <c r="N30" s="96"/>
      <c r="O30" s="32"/>
      <c r="P30" s="85"/>
      <c r="Q30" s="126"/>
      <c r="R30" s="126"/>
      <c r="S30" s="126"/>
      <c r="T30" s="85"/>
      <c r="U30" s="85"/>
      <c r="V30" s="85"/>
      <c r="W30" s="85"/>
    </row>
    <row r="31" spans="1:23" s="33" customFormat="1" ht="14.4" x14ac:dyDescent="0.3">
      <c r="A31" s="28" t="s">
        <v>4</v>
      </c>
      <c r="B31" s="29" t="s">
        <v>73</v>
      </c>
      <c r="C31" s="30"/>
      <c r="D31" s="198"/>
      <c r="E31" s="133"/>
      <c r="F31" s="31"/>
      <c r="G31" s="31"/>
      <c r="H31" s="31"/>
      <c r="I31" s="31"/>
      <c r="J31" s="106"/>
      <c r="K31" s="106"/>
      <c r="L31" s="106"/>
      <c r="M31" s="89"/>
      <c r="N31" s="96"/>
      <c r="O31" s="32"/>
      <c r="P31" s="85"/>
      <c r="Q31" s="126"/>
      <c r="R31" s="126"/>
      <c r="S31" s="126"/>
      <c r="T31" s="85"/>
      <c r="U31" s="85"/>
      <c r="V31" s="85"/>
      <c r="W31" s="85"/>
    </row>
    <row r="32" spans="1:23" s="33" customFormat="1" ht="14.4" x14ac:dyDescent="0.3">
      <c r="A32" s="34"/>
      <c r="B32" s="61" t="s">
        <v>414</v>
      </c>
      <c r="C32" s="36"/>
      <c r="D32" s="37"/>
      <c r="E32" s="134"/>
      <c r="F32" s="31"/>
      <c r="G32" s="31"/>
      <c r="H32" s="31"/>
      <c r="I32" s="31"/>
      <c r="J32" s="40"/>
      <c r="K32" s="40"/>
      <c r="L32" s="131">
        <v>1</v>
      </c>
      <c r="M32" s="59">
        <f>+SUM(K34:K68)*L32</f>
        <v>121.39374999999995</v>
      </c>
      <c r="N32" s="97" t="s">
        <v>11</v>
      </c>
      <c r="O32" s="32"/>
      <c r="P32" s="85"/>
      <c r="Q32" s="126"/>
      <c r="R32" s="126"/>
      <c r="S32" s="126"/>
      <c r="T32" s="85"/>
      <c r="U32" s="85"/>
      <c r="V32" s="85"/>
      <c r="W32" s="85"/>
    </row>
    <row r="33" spans="1:23" s="33" customFormat="1" ht="13.8" x14ac:dyDescent="0.25">
      <c r="A33" s="34"/>
      <c r="B33" s="61" t="s">
        <v>194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59"/>
      <c r="N33" s="97"/>
      <c r="O33" s="32"/>
      <c r="P33" s="85"/>
      <c r="Q33" s="126"/>
      <c r="R33" s="126"/>
      <c r="S33" s="126"/>
      <c r="T33" s="85"/>
      <c r="U33" s="85"/>
      <c r="V33" s="85"/>
      <c r="W33" s="85"/>
    </row>
    <row r="34" spans="1:23" s="33" customFormat="1" ht="13.8" x14ac:dyDescent="0.25">
      <c r="A34" s="34"/>
      <c r="B34" s="35"/>
      <c r="C34" s="40">
        <v>1</v>
      </c>
      <c r="D34" s="40">
        <v>15.2</v>
      </c>
      <c r="E34" s="40">
        <v>1.2</v>
      </c>
      <c r="F34" s="40">
        <v>1</v>
      </c>
      <c r="G34" s="40"/>
      <c r="H34" s="40"/>
      <c r="I34" s="40">
        <f>+F34*E34*D34</f>
        <v>18.239999999999998</v>
      </c>
      <c r="J34" s="40">
        <f>+I34</f>
        <v>18.239999999999998</v>
      </c>
      <c r="K34" s="40">
        <f>+J34*C34</f>
        <v>18.239999999999998</v>
      </c>
      <c r="L34" s="40"/>
      <c r="M34" s="59"/>
      <c r="N34" s="97"/>
      <c r="O34" s="32"/>
      <c r="P34" s="85"/>
      <c r="Q34" s="126"/>
      <c r="R34" s="126"/>
      <c r="S34" s="126"/>
      <c r="T34" s="85"/>
      <c r="U34" s="85"/>
      <c r="V34" s="85"/>
      <c r="W34" s="85"/>
    </row>
    <row r="35" spans="1:23" s="33" customFormat="1" ht="13.8" x14ac:dyDescent="0.25">
      <c r="A35" s="34"/>
      <c r="B35" s="35"/>
      <c r="C35" s="40">
        <v>1</v>
      </c>
      <c r="D35" s="40">
        <v>9.6</v>
      </c>
      <c r="E35" s="40">
        <v>1.75</v>
      </c>
      <c r="F35" s="40">
        <v>1</v>
      </c>
      <c r="G35" s="40"/>
      <c r="H35" s="40"/>
      <c r="I35" s="40">
        <f t="shared" ref="I35:I49" si="0">+F35*E35*D35</f>
        <v>16.8</v>
      </c>
      <c r="J35" s="40">
        <f t="shared" ref="J35:J68" si="1">+I35</f>
        <v>16.8</v>
      </c>
      <c r="K35" s="40">
        <f t="shared" ref="K35:K49" si="2">+J35*C35</f>
        <v>16.8</v>
      </c>
      <c r="L35" s="40"/>
      <c r="M35" s="59"/>
      <c r="N35" s="97"/>
      <c r="O35" s="32"/>
      <c r="P35" s="85"/>
      <c r="Q35" s="126"/>
      <c r="R35" s="126"/>
      <c r="S35" s="126"/>
      <c r="T35" s="85"/>
      <c r="U35" s="85"/>
      <c r="V35" s="85"/>
      <c r="W35" s="85"/>
    </row>
    <row r="36" spans="1:23" s="33" customFormat="1" ht="13.8" x14ac:dyDescent="0.25">
      <c r="A36" s="34"/>
      <c r="B36" s="35"/>
      <c r="C36" s="40">
        <v>1</v>
      </c>
      <c r="D36" s="40">
        <v>4.5999999999999996</v>
      </c>
      <c r="E36" s="40">
        <v>1.3</v>
      </c>
      <c r="F36" s="40">
        <v>1</v>
      </c>
      <c r="G36" s="40"/>
      <c r="H36" s="40"/>
      <c r="I36" s="40">
        <f t="shared" si="0"/>
        <v>5.9799999999999995</v>
      </c>
      <c r="J36" s="40">
        <f t="shared" si="1"/>
        <v>5.9799999999999995</v>
      </c>
      <c r="K36" s="40">
        <f t="shared" si="2"/>
        <v>5.9799999999999995</v>
      </c>
      <c r="L36" s="40"/>
      <c r="M36" s="59"/>
      <c r="N36" s="97"/>
      <c r="O36" s="32"/>
      <c r="P36" s="85"/>
      <c r="Q36" s="126"/>
      <c r="R36" s="126"/>
      <c r="S36" s="126"/>
      <c r="T36" s="85"/>
      <c r="U36" s="85"/>
      <c r="V36" s="85"/>
      <c r="W36" s="85"/>
    </row>
    <row r="37" spans="1:23" s="33" customFormat="1" ht="13.8" x14ac:dyDescent="0.25">
      <c r="A37" s="34"/>
      <c r="B37" s="35"/>
      <c r="C37" s="40">
        <v>1</v>
      </c>
      <c r="D37" s="40">
        <v>16.5</v>
      </c>
      <c r="E37" s="40">
        <v>1</v>
      </c>
      <c r="F37" s="40">
        <v>1</v>
      </c>
      <c r="G37" s="40"/>
      <c r="H37" s="40"/>
      <c r="I37" s="40">
        <f t="shared" si="0"/>
        <v>16.5</v>
      </c>
      <c r="J37" s="40">
        <f t="shared" si="1"/>
        <v>16.5</v>
      </c>
      <c r="K37" s="40">
        <f t="shared" si="2"/>
        <v>16.5</v>
      </c>
      <c r="L37" s="40"/>
      <c r="M37" s="59"/>
      <c r="N37" s="97"/>
      <c r="O37" s="32"/>
      <c r="P37" s="85"/>
      <c r="Q37" s="126"/>
      <c r="R37" s="126"/>
      <c r="S37" s="126"/>
      <c r="T37" s="85"/>
      <c r="U37" s="85"/>
      <c r="V37" s="85"/>
      <c r="W37" s="85"/>
    </row>
    <row r="38" spans="1:23" s="33" customFormat="1" ht="13.8" x14ac:dyDescent="0.25">
      <c r="A38" s="34"/>
      <c r="B38" s="35"/>
      <c r="C38" s="40">
        <v>1</v>
      </c>
      <c r="D38" s="40">
        <v>7.8</v>
      </c>
      <c r="E38" s="40">
        <v>0.95</v>
      </c>
      <c r="F38" s="40">
        <v>1</v>
      </c>
      <c r="G38" s="40"/>
      <c r="H38" s="40"/>
      <c r="I38" s="40">
        <f t="shared" si="0"/>
        <v>7.4099999999999993</v>
      </c>
      <c r="J38" s="40">
        <f t="shared" si="1"/>
        <v>7.4099999999999993</v>
      </c>
      <c r="K38" s="40">
        <f t="shared" si="2"/>
        <v>7.4099999999999993</v>
      </c>
      <c r="L38" s="40"/>
      <c r="M38" s="59"/>
      <c r="N38" s="97"/>
      <c r="O38" s="32"/>
      <c r="P38" s="85"/>
      <c r="Q38" s="126"/>
      <c r="R38" s="126"/>
      <c r="S38" s="126"/>
      <c r="T38" s="85"/>
      <c r="U38" s="85"/>
      <c r="V38" s="85"/>
      <c r="W38" s="85"/>
    </row>
    <row r="39" spans="1:23" s="33" customFormat="1" ht="13.8" x14ac:dyDescent="0.25">
      <c r="A39" s="34"/>
      <c r="B39" s="67"/>
      <c r="C39" s="40">
        <v>1</v>
      </c>
      <c r="D39" s="40">
        <v>7.8</v>
      </c>
      <c r="E39" s="40">
        <v>1.2</v>
      </c>
      <c r="F39" s="40">
        <v>1</v>
      </c>
      <c r="G39" s="40"/>
      <c r="H39" s="40"/>
      <c r="I39" s="40">
        <f t="shared" si="0"/>
        <v>9.36</v>
      </c>
      <c r="J39" s="40">
        <f t="shared" si="1"/>
        <v>9.36</v>
      </c>
      <c r="K39" s="40">
        <f t="shared" si="2"/>
        <v>9.36</v>
      </c>
      <c r="L39" s="40"/>
      <c r="M39" s="59"/>
      <c r="N39" s="97"/>
      <c r="O39" s="32"/>
      <c r="P39" s="85"/>
      <c r="Q39" s="126"/>
      <c r="R39" s="126"/>
      <c r="S39" s="126"/>
      <c r="T39" s="85"/>
      <c r="U39" s="85"/>
      <c r="V39" s="85"/>
      <c r="W39" s="85"/>
    </row>
    <row r="40" spans="1:23" s="33" customFormat="1" ht="13.8" x14ac:dyDescent="0.25">
      <c r="A40" s="34"/>
      <c r="B40" s="67"/>
      <c r="C40" s="40">
        <v>1</v>
      </c>
      <c r="D40" s="40">
        <v>2.2000000000000002</v>
      </c>
      <c r="E40" s="40">
        <v>0.6</v>
      </c>
      <c r="F40" s="40">
        <v>1</v>
      </c>
      <c r="G40" s="40"/>
      <c r="H40" s="40"/>
      <c r="I40" s="40">
        <f t="shared" si="0"/>
        <v>1.32</v>
      </c>
      <c r="J40" s="40">
        <f t="shared" si="1"/>
        <v>1.32</v>
      </c>
      <c r="K40" s="40">
        <f t="shared" si="2"/>
        <v>1.32</v>
      </c>
      <c r="L40" s="40"/>
      <c r="M40" s="59"/>
      <c r="N40" s="97"/>
      <c r="O40" s="32"/>
      <c r="P40" s="85"/>
      <c r="Q40" s="126"/>
      <c r="R40" s="126"/>
      <c r="S40" s="126"/>
      <c r="T40" s="85"/>
      <c r="U40" s="85"/>
      <c r="V40" s="85"/>
      <c r="W40" s="85"/>
    </row>
    <row r="41" spans="1:23" s="33" customFormat="1" ht="13.8" x14ac:dyDescent="0.25">
      <c r="A41" s="34"/>
      <c r="B41" s="61" t="s">
        <v>454</v>
      </c>
      <c r="C41" s="40"/>
      <c r="D41" s="40"/>
      <c r="E41" s="40"/>
      <c r="F41" s="40"/>
      <c r="G41" s="40"/>
      <c r="H41" s="40"/>
      <c r="I41" s="40">
        <f t="shared" si="0"/>
        <v>0</v>
      </c>
      <c r="J41" s="40">
        <f t="shared" si="1"/>
        <v>0</v>
      </c>
      <c r="K41" s="40">
        <f t="shared" si="2"/>
        <v>0</v>
      </c>
      <c r="L41" s="40"/>
      <c r="M41" s="59"/>
      <c r="N41" s="97"/>
      <c r="O41" s="32"/>
      <c r="P41" s="85"/>
      <c r="Q41" s="126"/>
      <c r="R41" s="126"/>
      <c r="S41" s="126"/>
      <c r="T41" s="85"/>
      <c r="U41" s="85"/>
      <c r="V41" s="85"/>
      <c r="W41" s="85"/>
    </row>
    <row r="42" spans="1:23" s="33" customFormat="1" ht="13.8" x14ac:dyDescent="0.25">
      <c r="A42" s="34"/>
      <c r="B42" s="35"/>
      <c r="C42" s="40">
        <v>1</v>
      </c>
      <c r="D42" s="40">
        <v>1.75</v>
      </c>
      <c r="E42" s="40">
        <v>1.95</v>
      </c>
      <c r="F42" s="40">
        <v>1</v>
      </c>
      <c r="G42" s="40"/>
      <c r="H42" s="40"/>
      <c r="I42" s="40">
        <f t="shared" si="0"/>
        <v>3.4125000000000001</v>
      </c>
      <c r="J42" s="40">
        <f t="shared" si="1"/>
        <v>3.4125000000000001</v>
      </c>
      <c r="K42" s="40">
        <f t="shared" si="2"/>
        <v>3.4125000000000001</v>
      </c>
      <c r="L42" s="40"/>
      <c r="M42" s="59"/>
      <c r="N42" s="97"/>
      <c r="O42" s="32"/>
      <c r="P42" s="85"/>
      <c r="Q42" s="126"/>
      <c r="R42" s="126"/>
      <c r="S42" s="126"/>
      <c r="T42" s="85"/>
      <c r="U42" s="85"/>
      <c r="V42" s="85"/>
      <c r="W42" s="85"/>
    </row>
    <row r="43" spans="1:23" s="33" customFormat="1" ht="13.8" x14ac:dyDescent="0.25">
      <c r="A43" s="34"/>
      <c r="B43" s="67"/>
      <c r="C43" s="40">
        <v>1</v>
      </c>
      <c r="D43" s="40">
        <v>1.7</v>
      </c>
      <c r="E43" s="40">
        <v>1.9</v>
      </c>
      <c r="F43" s="40">
        <v>1</v>
      </c>
      <c r="G43" s="40"/>
      <c r="H43" s="40"/>
      <c r="I43" s="40">
        <f t="shared" si="0"/>
        <v>3.23</v>
      </c>
      <c r="J43" s="40">
        <f t="shared" si="1"/>
        <v>3.23</v>
      </c>
      <c r="K43" s="40">
        <f t="shared" si="2"/>
        <v>3.23</v>
      </c>
      <c r="L43" s="40"/>
      <c r="M43" s="59"/>
      <c r="N43" s="97"/>
      <c r="O43" s="32"/>
      <c r="P43" s="85"/>
      <c r="Q43" s="126"/>
      <c r="R43" s="126"/>
      <c r="S43" s="126"/>
      <c r="T43" s="85"/>
      <c r="U43" s="85"/>
      <c r="V43" s="85"/>
      <c r="W43" s="85"/>
    </row>
    <row r="44" spans="1:23" s="33" customFormat="1" ht="13.8" x14ac:dyDescent="0.25">
      <c r="A44" s="34"/>
      <c r="B44" s="35"/>
      <c r="C44" s="40">
        <v>4</v>
      </c>
      <c r="D44" s="40">
        <v>1.05</v>
      </c>
      <c r="E44" s="40">
        <v>1.05</v>
      </c>
      <c r="F44" s="40">
        <v>1</v>
      </c>
      <c r="G44" s="40"/>
      <c r="H44" s="40"/>
      <c r="I44" s="40">
        <f t="shared" si="0"/>
        <v>1.1025</v>
      </c>
      <c r="J44" s="40">
        <f t="shared" si="1"/>
        <v>1.1025</v>
      </c>
      <c r="K44" s="40">
        <f t="shared" si="2"/>
        <v>4.41</v>
      </c>
      <c r="L44" s="40"/>
      <c r="M44" s="59"/>
      <c r="N44" s="97"/>
      <c r="O44" s="32"/>
      <c r="P44" s="85"/>
      <c r="Q44" s="126"/>
      <c r="R44" s="126"/>
      <c r="S44" s="126"/>
      <c r="T44" s="85"/>
      <c r="U44" s="85"/>
      <c r="V44" s="85"/>
      <c r="W44" s="85"/>
    </row>
    <row r="45" spans="1:23" s="33" customFormat="1" ht="13.8" x14ac:dyDescent="0.25">
      <c r="A45" s="34"/>
      <c r="B45" s="35"/>
      <c r="C45" s="40">
        <v>1</v>
      </c>
      <c r="D45" s="40">
        <v>1.35</v>
      </c>
      <c r="E45" s="40">
        <v>1.35</v>
      </c>
      <c r="F45" s="40">
        <v>1</v>
      </c>
      <c r="G45" s="40"/>
      <c r="H45" s="40"/>
      <c r="I45" s="40">
        <f t="shared" si="0"/>
        <v>1.8225000000000002</v>
      </c>
      <c r="J45" s="40">
        <f t="shared" si="1"/>
        <v>1.8225000000000002</v>
      </c>
      <c r="K45" s="40">
        <f t="shared" si="2"/>
        <v>1.8225000000000002</v>
      </c>
      <c r="L45" s="40"/>
      <c r="M45" s="59"/>
      <c r="N45" s="97"/>
      <c r="O45" s="32"/>
      <c r="P45" s="85"/>
      <c r="Q45" s="126"/>
      <c r="R45" s="126"/>
      <c r="S45" s="126"/>
      <c r="T45" s="85"/>
      <c r="U45" s="85"/>
      <c r="V45" s="85"/>
      <c r="W45" s="85"/>
    </row>
    <row r="46" spans="1:23" s="33" customFormat="1" ht="13.8" x14ac:dyDescent="0.25">
      <c r="A46" s="34"/>
      <c r="B46" s="35"/>
      <c r="C46" s="40">
        <v>1</v>
      </c>
      <c r="D46" s="40">
        <v>2</v>
      </c>
      <c r="E46" s="40">
        <v>2</v>
      </c>
      <c r="F46" s="40">
        <v>1</v>
      </c>
      <c r="G46" s="40"/>
      <c r="H46" s="40"/>
      <c r="I46" s="40">
        <f t="shared" si="0"/>
        <v>4</v>
      </c>
      <c r="J46" s="40">
        <f t="shared" si="1"/>
        <v>4</v>
      </c>
      <c r="K46" s="40">
        <f t="shared" si="2"/>
        <v>4</v>
      </c>
      <c r="L46" s="40"/>
      <c r="M46" s="59"/>
      <c r="N46" s="97"/>
      <c r="O46" s="32"/>
      <c r="P46" s="85"/>
      <c r="Q46" s="126"/>
      <c r="R46" s="126"/>
      <c r="S46" s="126"/>
      <c r="T46" s="85"/>
      <c r="U46" s="85"/>
      <c r="V46" s="85"/>
      <c r="W46" s="85"/>
    </row>
    <row r="47" spans="1:23" s="33" customFormat="1" ht="13.8" x14ac:dyDescent="0.25">
      <c r="A47" s="34"/>
      <c r="B47" s="35"/>
      <c r="C47" s="40">
        <v>1</v>
      </c>
      <c r="D47" s="40">
        <v>0.9</v>
      </c>
      <c r="E47" s="40">
        <v>0.9</v>
      </c>
      <c r="F47" s="40">
        <v>1</v>
      </c>
      <c r="G47" s="40"/>
      <c r="H47" s="40"/>
      <c r="I47" s="40">
        <f t="shared" si="0"/>
        <v>0.81</v>
      </c>
      <c r="J47" s="40">
        <f t="shared" si="1"/>
        <v>0.81</v>
      </c>
      <c r="K47" s="40">
        <f t="shared" si="2"/>
        <v>0.81</v>
      </c>
      <c r="L47" s="40"/>
      <c r="M47" s="59"/>
      <c r="N47" s="97"/>
      <c r="O47" s="32"/>
      <c r="P47" s="85"/>
      <c r="Q47" s="126"/>
      <c r="R47" s="126"/>
      <c r="S47" s="126"/>
      <c r="T47" s="85"/>
      <c r="U47" s="85"/>
      <c r="V47" s="85"/>
      <c r="W47" s="85"/>
    </row>
    <row r="48" spans="1:23" s="33" customFormat="1" ht="13.8" x14ac:dyDescent="0.25">
      <c r="A48" s="34"/>
      <c r="B48" s="35"/>
      <c r="C48" s="40">
        <v>1</v>
      </c>
      <c r="D48" s="40">
        <v>2.0499999999999998</v>
      </c>
      <c r="E48" s="40">
        <v>2.0499999999999998</v>
      </c>
      <c r="F48" s="40">
        <v>1</v>
      </c>
      <c r="G48" s="40"/>
      <c r="H48" s="40"/>
      <c r="I48" s="40">
        <f t="shared" si="0"/>
        <v>4.2024999999999997</v>
      </c>
      <c r="J48" s="40">
        <f t="shared" si="1"/>
        <v>4.2024999999999997</v>
      </c>
      <c r="K48" s="40">
        <f t="shared" si="2"/>
        <v>4.2024999999999997</v>
      </c>
      <c r="L48" s="40"/>
      <c r="M48" s="59"/>
      <c r="N48" s="97"/>
      <c r="O48" s="32"/>
      <c r="P48" s="85"/>
      <c r="Q48" s="126"/>
      <c r="R48" s="126"/>
      <c r="S48" s="126"/>
      <c r="T48" s="85"/>
      <c r="U48" s="85"/>
      <c r="V48" s="85"/>
      <c r="W48" s="85"/>
    </row>
    <row r="49" spans="1:23" s="33" customFormat="1" ht="13.8" x14ac:dyDescent="0.25">
      <c r="A49" s="34"/>
      <c r="B49" s="35"/>
      <c r="C49" s="40">
        <v>1</v>
      </c>
      <c r="D49" s="40">
        <v>3.5</v>
      </c>
      <c r="E49" s="40">
        <v>2.9</v>
      </c>
      <c r="F49" s="40">
        <v>1</v>
      </c>
      <c r="G49" s="40"/>
      <c r="H49" s="40"/>
      <c r="I49" s="40">
        <f t="shared" si="0"/>
        <v>10.15</v>
      </c>
      <c r="J49" s="40">
        <f t="shared" si="1"/>
        <v>10.15</v>
      </c>
      <c r="K49" s="40">
        <f t="shared" si="2"/>
        <v>10.15</v>
      </c>
      <c r="L49" s="40"/>
      <c r="M49" s="59"/>
      <c r="N49" s="97"/>
      <c r="O49" s="32"/>
      <c r="P49" s="85"/>
      <c r="Q49" s="126"/>
      <c r="R49" s="126"/>
      <c r="S49" s="126"/>
      <c r="T49" s="85"/>
      <c r="U49" s="85"/>
      <c r="V49" s="85"/>
      <c r="W49" s="85"/>
    </row>
    <row r="50" spans="1:23" s="33" customFormat="1" ht="13.8" x14ac:dyDescent="0.25">
      <c r="A50" s="34"/>
      <c r="B50" s="58"/>
      <c r="C50" s="59"/>
      <c r="D50" s="40"/>
      <c r="E50" s="40"/>
      <c r="F50" s="40"/>
      <c r="G50" s="40"/>
      <c r="H50" s="40"/>
      <c r="I50" s="40"/>
      <c r="J50" s="40"/>
      <c r="K50" s="40"/>
      <c r="L50" s="40"/>
      <c r="M50" s="59"/>
      <c r="N50" s="97"/>
      <c r="O50" s="32"/>
      <c r="P50" s="85"/>
      <c r="Q50" s="126"/>
      <c r="R50" s="126"/>
      <c r="S50" s="126"/>
      <c r="T50" s="85"/>
      <c r="U50" s="85"/>
      <c r="V50" s="85"/>
      <c r="W50" s="85"/>
    </row>
    <row r="51" spans="1:23" s="33" customFormat="1" ht="13.8" x14ac:dyDescent="0.25">
      <c r="A51" s="34"/>
      <c r="B51" s="61" t="s">
        <v>104</v>
      </c>
      <c r="C51" s="40"/>
      <c r="D51" s="40"/>
      <c r="E51" s="40"/>
      <c r="F51" s="40"/>
      <c r="G51" s="40"/>
      <c r="H51" s="40"/>
      <c r="I51" s="40"/>
      <c r="J51" s="40"/>
      <c r="K51" s="40"/>
      <c r="L51" s="167"/>
      <c r="M51" s="59"/>
      <c r="N51" s="97"/>
      <c r="O51" s="32"/>
      <c r="P51" s="85"/>
      <c r="Q51" s="126"/>
      <c r="R51" s="126"/>
      <c r="S51" s="126"/>
      <c r="T51" s="85"/>
      <c r="U51" s="85"/>
      <c r="V51" s="85"/>
      <c r="W51" s="85"/>
    </row>
    <row r="52" spans="1:23" s="33" customFormat="1" ht="13.8" x14ac:dyDescent="0.25">
      <c r="A52" s="34"/>
      <c r="B52" s="39"/>
      <c r="C52" s="40">
        <v>1</v>
      </c>
      <c r="D52" s="40">
        <v>14.1</v>
      </c>
      <c r="E52" s="40">
        <v>0.25</v>
      </c>
      <c r="F52" s="40">
        <v>0.35</v>
      </c>
      <c r="G52" s="40"/>
      <c r="H52" s="40"/>
      <c r="I52" s="40">
        <f t="shared" ref="I52:I68" si="3">+F52*E52*D52</f>
        <v>1.2337499999999999</v>
      </c>
      <c r="J52" s="40">
        <f t="shared" si="1"/>
        <v>1.2337499999999999</v>
      </c>
      <c r="K52" s="40">
        <f t="shared" ref="K52:K68" si="4">+J52*C52</f>
        <v>1.2337499999999999</v>
      </c>
      <c r="L52" s="40"/>
      <c r="M52" s="59"/>
      <c r="N52" s="97"/>
      <c r="O52" s="32"/>
      <c r="P52" s="85"/>
      <c r="Q52" s="126"/>
      <c r="R52" s="126"/>
      <c r="S52" s="126"/>
      <c r="T52" s="85"/>
      <c r="U52" s="85"/>
      <c r="V52" s="85"/>
      <c r="W52" s="85"/>
    </row>
    <row r="53" spans="1:23" s="33" customFormat="1" ht="13.8" x14ac:dyDescent="0.25">
      <c r="A53" s="34"/>
      <c r="B53" s="39"/>
      <c r="C53" s="40">
        <v>1</v>
      </c>
      <c r="D53" s="40">
        <v>7.4</v>
      </c>
      <c r="E53" s="40">
        <v>0.25</v>
      </c>
      <c r="F53" s="40">
        <v>0.35</v>
      </c>
      <c r="G53" s="40"/>
      <c r="H53" s="40"/>
      <c r="I53" s="40">
        <f t="shared" si="3"/>
        <v>0.64749999999999996</v>
      </c>
      <c r="J53" s="40">
        <f t="shared" si="1"/>
        <v>0.64749999999999996</v>
      </c>
      <c r="K53" s="40">
        <f t="shared" si="4"/>
        <v>0.64749999999999996</v>
      </c>
      <c r="L53" s="40"/>
      <c r="M53" s="59"/>
      <c r="N53" s="97"/>
      <c r="O53" s="32"/>
      <c r="P53" s="85"/>
      <c r="Q53" s="126"/>
      <c r="R53" s="126"/>
      <c r="S53" s="126"/>
      <c r="T53" s="85"/>
      <c r="U53" s="85"/>
      <c r="V53" s="85"/>
      <c r="W53" s="85"/>
    </row>
    <row r="54" spans="1:23" s="33" customFormat="1" ht="13.8" x14ac:dyDescent="0.25">
      <c r="A54" s="34"/>
      <c r="B54" s="39"/>
      <c r="C54" s="40">
        <v>1</v>
      </c>
      <c r="D54" s="40">
        <v>8.1999999999999993</v>
      </c>
      <c r="E54" s="40">
        <v>0.25</v>
      </c>
      <c r="F54" s="40">
        <v>0.35</v>
      </c>
      <c r="G54" s="40"/>
      <c r="H54" s="40"/>
      <c r="I54" s="40">
        <f t="shared" si="3"/>
        <v>0.71749999999999992</v>
      </c>
      <c r="J54" s="40">
        <f t="shared" si="1"/>
        <v>0.71749999999999992</v>
      </c>
      <c r="K54" s="40">
        <f t="shared" si="4"/>
        <v>0.71749999999999992</v>
      </c>
      <c r="L54" s="40"/>
      <c r="M54" s="59"/>
      <c r="N54" s="97"/>
      <c r="O54" s="32"/>
      <c r="P54" s="85"/>
      <c r="Q54" s="126"/>
      <c r="R54" s="126"/>
      <c r="S54" s="126"/>
      <c r="T54" s="85"/>
      <c r="U54" s="85"/>
      <c r="V54" s="85"/>
      <c r="W54" s="85"/>
    </row>
    <row r="55" spans="1:23" s="33" customFormat="1" ht="13.8" x14ac:dyDescent="0.25">
      <c r="A55" s="34"/>
      <c r="B55" s="39"/>
      <c r="C55" s="40">
        <v>1</v>
      </c>
      <c r="D55" s="40">
        <v>14.9</v>
      </c>
      <c r="E55" s="40">
        <v>0.25</v>
      </c>
      <c r="F55" s="40">
        <v>0.35</v>
      </c>
      <c r="G55" s="40"/>
      <c r="H55" s="40"/>
      <c r="I55" s="40">
        <f t="shared" si="3"/>
        <v>1.30375</v>
      </c>
      <c r="J55" s="40">
        <f t="shared" si="1"/>
        <v>1.30375</v>
      </c>
      <c r="K55" s="40">
        <f t="shared" si="4"/>
        <v>1.30375</v>
      </c>
      <c r="L55" s="40"/>
      <c r="M55" s="59"/>
      <c r="N55" s="97"/>
      <c r="O55" s="32"/>
      <c r="P55" s="85"/>
      <c r="Q55" s="126"/>
      <c r="R55" s="126"/>
      <c r="S55" s="126"/>
      <c r="T55" s="85"/>
      <c r="U55" s="85"/>
      <c r="V55" s="85"/>
      <c r="W55" s="85"/>
    </row>
    <row r="56" spans="1:23" s="33" customFormat="1" ht="13.8" x14ac:dyDescent="0.25">
      <c r="A56" s="34"/>
      <c r="B56" s="39"/>
      <c r="C56" s="40">
        <v>1</v>
      </c>
      <c r="D56" s="40">
        <v>4.0999999999999996</v>
      </c>
      <c r="E56" s="40">
        <v>0.25</v>
      </c>
      <c r="F56" s="40">
        <v>0.35</v>
      </c>
      <c r="G56" s="40"/>
      <c r="H56" s="40"/>
      <c r="I56" s="40">
        <f t="shared" si="3"/>
        <v>0.35874999999999996</v>
      </c>
      <c r="J56" s="40">
        <f t="shared" si="1"/>
        <v>0.35874999999999996</v>
      </c>
      <c r="K56" s="40">
        <f t="shared" si="4"/>
        <v>0.35874999999999996</v>
      </c>
      <c r="L56" s="40"/>
      <c r="M56" s="59"/>
      <c r="N56" s="97"/>
      <c r="O56" s="32"/>
      <c r="P56" s="85"/>
      <c r="Q56" s="126"/>
      <c r="R56" s="126"/>
      <c r="S56" s="126"/>
      <c r="T56" s="85"/>
      <c r="U56" s="85"/>
      <c r="V56" s="85"/>
      <c r="W56" s="85"/>
    </row>
    <row r="57" spans="1:23" s="33" customFormat="1" ht="13.8" x14ac:dyDescent="0.25">
      <c r="A57" s="34"/>
      <c r="B57" s="39"/>
      <c r="C57" s="40">
        <v>1</v>
      </c>
      <c r="D57" s="40">
        <v>8</v>
      </c>
      <c r="E57" s="40">
        <v>0.25</v>
      </c>
      <c r="F57" s="40">
        <v>0.35</v>
      </c>
      <c r="G57" s="40"/>
      <c r="H57" s="40"/>
      <c r="I57" s="40">
        <f t="shared" si="3"/>
        <v>0.7</v>
      </c>
      <c r="J57" s="40">
        <f t="shared" si="1"/>
        <v>0.7</v>
      </c>
      <c r="K57" s="40">
        <f t="shared" si="4"/>
        <v>0.7</v>
      </c>
      <c r="L57" s="40"/>
      <c r="M57" s="59"/>
      <c r="N57" s="97"/>
      <c r="O57" s="32"/>
      <c r="P57" s="85"/>
      <c r="Q57" s="126"/>
      <c r="R57" s="126"/>
      <c r="S57" s="126"/>
      <c r="T57" s="85"/>
      <c r="U57" s="85"/>
      <c r="V57" s="85"/>
      <c r="W57" s="85"/>
    </row>
    <row r="58" spans="1:23" s="33" customFormat="1" ht="13.8" x14ac:dyDescent="0.25">
      <c r="A58" s="34"/>
      <c r="B58" s="39"/>
      <c r="C58" s="40">
        <v>1</v>
      </c>
      <c r="D58" s="40">
        <v>15.6</v>
      </c>
      <c r="E58" s="40">
        <v>0.25</v>
      </c>
      <c r="F58" s="40">
        <v>0.35</v>
      </c>
      <c r="G58" s="40"/>
      <c r="H58" s="40"/>
      <c r="I58" s="40">
        <f t="shared" si="3"/>
        <v>1.365</v>
      </c>
      <c r="J58" s="40">
        <f t="shared" si="1"/>
        <v>1.365</v>
      </c>
      <c r="K58" s="40">
        <f t="shared" si="4"/>
        <v>1.365</v>
      </c>
      <c r="L58" s="40"/>
      <c r="M58" s="59"/>
      <c r="N58" s="97"/>
      <c r="O58" s="32"/>
      <c r="P58" s="85"/>
      <c r="Q58" s="126"/>
      <c r="R58" s="126"/>
      <c r="S58" s="126"/>
      <c r="T58" s="85"/>
      <c r="U58" s="85"/>
      <c r="V58" s="85"/>
      <c r="W58" s="85"/>
    </row>
    <row r="59" spans="1:23" s="33" customFormat="1" ht="13.8" x14ac:dyDescent="0.25">
      <c r="A59" s="34"/>
      <c r="B59" s="39"/>
      <c r="C59" s="40">
        <v>1</v>
      </c>
      <c r="D59" s="40">
        <v>7</v>
      </c>
      <c r="E59" s="40">
        <v>0.25</v>
      </c>
      <c r="F59" s="40">
        <v>0.35</v>
      </c>
      <c r="G59" s="40"/>
      <c r="H59" s="40"/>
      <c r="I59" s="40">
        <f t="shared" si="3"/>
        <v>0.61249999999999993</v>
      </c>
      <c r="J59" s="40">
        <f t="shared" si="1"/>
        <v>0.61249999999999993</v>
      </c>
      <c r="K59" s="40">
        <f t="shared" si="4"/>
        <v>0.61249999999999993</v>
      </c>
      <c r="L59" s="40"/>
      <c r="M59" s="59"/>
      <c r="N59" s="97"/>
      <c r="O59" s="32"/>
      <c r="P59" s="85"/>
      <c r="Q59" s="126"/>
      <c r="R59" s="126"/>
      <c r="S59" s="126"/>
      <c r="T59" s="85"/>
      <c r="U59" s="85"/>
      <c r="V59" s="85"/>
      <c r="W59" s="85"/>
    </row>
    <row r="60" spans="1:23" s="33" customFormat="1" ht="13.8" x14ac:dyDescent="0.25">
      <c r="A60" s="34"/>
      <c r="B60" s="39"/>
      <c r="C60" s="40">
        <v>1</v>
      </c>
      <c r="D60" s="40">
        <v>9.1</v>
      </c>
      <c r="E60" s="40">
        <v>0.25</v>
      </c>
      <c r="F60" s="40">
        <v>0.35</v>
      </c>
      <c r="G60" s="40"/>
      <c r="H60" s="40"/>
      <c r="I60" s="40">
        <f t="shared" si="3"/>
        <v>0.7962499999999999</v>
      </c>
      <c r="J60" s="40">
        <f t="shared" si="1"/>
        <v>0.7962499999999999</v>
      </c>
      <c r="K60" s="40">
        <f t="shared" si="4"/>
        <v>0.7962499999999999</v>
      </c>
      <c r="L60" s="40"/>
      <c r="M60" s="59"/>
      <c r="N60" s="97"/>
      <c r="O60" s="32"/>
      <c r="P60" s="85"/>
      <c r="Q60" s="126"/>
      <c r="R60" s="126"/>
      <c r="S60" s="126"/>
      <c r="T60" s="85"/>
      <c r="U60" s="85"/>
      <c r="V60" s="85"/>
      <c r="W60" s="85"/>
    </row>
    <row r="61" spans="1:23" s="33" customFormat="1" ht="13.8" x14ac:dyDescent="0.25">
      <c r="A61" s="34"/>
      <c r="B61" s="39"/>
      <c r="C61" s="40">
        <v>1</v>
      </c>
      <c r="D61" s="40">
        <v>5.8</v>
      </c>
      <c r="E61" s="40">
        <v>0.25</v>
      </c>
      <c r="F61" s="40">
        <v>0.35</v>
      </c>
      <c r="G61" s="40"/>
      <c r="H61" s="40"/>
      <c r="I61" s="40">
        <f t="shared" si="3"/>
        <v>0.50749999999999995</v>
      </c>
      <c r="J61" s="40">
        <f t="shared" si="1"/>
        <v>0.50749999999999995</v>
      </c>
      <c r="K61" s="40">
        <f t="shared" si="4"/>
        <v>0.50749999999999995</v>
      </c>
      <c r="L61" s="40"/>
      <c r="M61" s="59"/>
      <c r="N61" s="97"/>
      <c r="O61" s="32"/>
      <c r="P61" s="85"/>
      <c r="Q61" s="126"/>
      <c r="R61" s="126"/>
      <c r="S61" s="126"/>
      <c r="T61" s="85"/>
      <c r="U61" s="85"/>
      <c r="V61" s="85"/>
      <c r="W61" s="85"/>
    </row>
    <row r="62" spans="1:23" s="33" customFormat="1" ht="13.8" x14ac:dyDescent="0.25">
      <c r="A62" s="34"/>
      <c r="B62" s="39"/>
      <c r="C62" s="40">
        <v>1</v>
      </c>
      <c r="D62" s="40">
        <v>14.7</v>
      </c>
      <c r="E62" s="40">
        <v>0.25</v>
      </c>
      <c r="F62" s="40">
        <v>0.35</v>
      </c>
      <c r="G62" s="40"/>
      <c r="H62" s="40"/>
      <c r="I62" s="40">
        <f t="shared" si="3"/>
        <v>1.2862499999999999</v>
      </c>
      <c r="J62" s="40">
        <f t="shared" si="1"/>
        <v>1.2862499999999999</v>
      </c>
      <c r="K62" s="40">
        <f t="shared" si="4"/>
        <v>1.2862499999999999</v>
      </c>
      <c r="L62" s="40"/>
      <c r="M62" s="59"/>
      <c r="N62" s="97"/>
      <c r="O62" s="32"/>
      <c r="P62" s="85"/>
      <c r="Q62" s="126"/>
      <c r="R62" s="126"/>
      <c r="S62" s="126"/>
      <c r="T62" s="85"/>
      <c r="U62" s="85"/>
      <c r="V62" s="85"/>
      <c r="W62" s="85"/>
    </row>
    <row r="63" spans="1:23" s="33" customFormat="1" ht="13.8" x14ac:dyDescent="0.25">
      <c r="A63" s="34"/>
      <c r="B63" s="39"/>
      <c r="C63" s="40">
        <v>1</v>
      </c>
      <c r="D63" s="40">
        <v>2.9</v>
      </c>
      <c r="E63" s="40">
        <v>0.25</v>
      </c>
      <c r="F63" s="40">
        <v>0.35</v>
      </c>
      <c r="G63" s="40"/>
      <c r="H63" s="40"/>
      <c r="I63" s="40">
        <f t="shared" si="3"/>
        <v>0.25374999999999998</v>
      </c>
      <c r="J63" s="40">
        <f t="shared" si="1"/>
        <v>0.25374999999999998</v>
      </c>
      <c r="K63" s="40">
        <f t="shared" si="4"/>
        <v>0.25374999999999998</v>
      </c>
      <c r="L63" s="40"/>
      <c r="M63" s="59"/>
      <c r="N63" s="97"/>
      <c r="O63" s="32"/>
      <c r="P63" s="85"/>
      <c r="Q63" s="126"/>
      <c r="R63" s="126"/>
      <c r="S63" s="126"/>
      <c r="T63" s="85"/>
      <c r="U63" s="85"/>
      <c r="V63" s="85"/>
      <c r="W63" s="85"/>
    </row>
    <row r="64" spans="1:23" s="33" customFormat="1" ht="13.8" x14ac:dyDescent="0.25">
      <c r="A64" s="34"/>
      <c r="B64" s="39"/>
      <c r="C64" s="40">
        <v>1</v>
      </c>
      <c r="D64" s="40">
        <v>14.7</v>
      </c>
      <c r="E64" s="40">
        <v>0.25</v>
      </c>
      <c r="F64" s="40">
        <v>0.35</v>
      </c>
      <c r="G64" s="40"/>
      <c r="H64" s="40"/>
      <c r="I64" s="40">
        <f t="shared" si="3"/>
        <v>1.2862499999999999</v>
      </c>
      <c r="J64" s="40">
        <f t="shared" si="1"/>
        <v>1.2862499999999999</v>
      </c>
      <c r="K64" s="40">
        <f t="shared" si="4"/>
        <v>1.2862499999999999</v>
      </c>
      <c r="L64" s="40"/>
      <c r="M64" s="59"/>
      <c r="N64" s="97"/>
      <c r="O64" s="32"/>
      <c r="P64" s="85"/>
      <c r="Q64" s="126"/>
      <c r="R64" s="126"/>
      <c r="S64" s="126"/>
      <c r="T64" s="85"/>
      <c r="U64" s="85"/>
      <c r="V64" s="85"/>
      <c r="W64" s="85"/>
    </row>
    <row r="65" spans="1:23" s="33" customFormat="1" ht="13.8" x14ac:dyDescent="0.25">
      <c r="A65" s="34"/>
      <c r="B65" s="39"/>
      <c r="C65" s="40">
        <v>1</v>
      </c>
      <c r="D65" s="40">
        <v>7.9</v>
      </c>
      <c r="E65" s="40">
        <v>0.25</v>
      </c>
      <c r="F65" s="40">
        <v>0.35</v>
      </c>
      <c r="G65" s="40"/>
      <c r="H65" s="40"/>
      <c r="I65" s="40">
        <f t="shared" si="3"/>
        <v>0.69125000000000003</v>
      </c>
      <c r="J65" s="40">
        <f t="shared" si="1"/>
        <v>0.69125000000000003</v>
      </c>
      <c r="K65" s="40">
        <f t="shared" si="4"/>
        <v>0.69125000000000003</v>
      </c>
      <c r="L65" s="40"/>
      <c r="M65" s="59"/>
      <c r="N65" s="97"/>
      <c r="O65" s="32"/>
      <c r="P65" s="85"/>
      <c r="Q65" s="126"/>
      <c r="R65" s="126"/>
      <c r="S65" s="126"/>
      <c r="T65" s="85"/>
      <c r="U65" s="85"/>
      <c r="V65" s="85"/>
      <c r="W65" s="85"/>
    </row>
    <row r="66" spans="1:23" s="33" customFormat="1" ht="13.8" x14ac:dyDescent="0.25">
      <c r="A66" s="34"/>
      <c r="B66" s="39"/>
      <c r="C66" s="40">
        <v>1</v>
      </c>
      <c r="D66" s="40">
        <v>1.3</v>
      </c>
      <c r="E66" s="40">
        <v>0.25</v>
      </c>
      <c r="F66" s="40">
        <v>0.35</v>
      </c>
      <c r="G66" s="40"/>
      <c r="H66" s="40"/>
      <c r="I66" s="40">
        <f t="shared" si="3"/>
        <v>0.11374999999999999</v>
      </c>
      <c r="J66" s="40">
        <f t="shared" si="1"/>
        <v>0.11374999999999999</v>
      </c>
      <c r="K66" s="40">
        <f t="shared" si="4"/>
        <v>0.11374999999999999</v>
      </c>
      <c r="L66" s="40"/>
      <c r="M66" s="59"/>
      <c r="N66" s="97"/>
      <c r="O66" s="32"/>
      <c r="P66" s="85"/>
      <c r="Q66" s="126"/>
      <c r="R66" s="126"/>
      <c r="S66" s="126"/>
      <c r="T66" s="85"/>
      <c r="U66" s="85"/>
      <c r="V66" s="85"/>
      <c r="W66" s="85"/>
    </row>
    <row r="67" spans="1:23" s="33" customFormat="1" ht="13.8" x14ac:dyDescent="0.25">
      <c r="A67" s="34"/>
      <c r="B67" s="39"/>
      <c r="C67" s="40">
        <v>1</v>
      </c>
      <c r="D67" s="40">
        <v>6.9</v>
      </c>
      <c r="E67" s="40">
        <v>0.25</v>
      </c>
      <c r="F67" s="40">
        <v>0.35</v>
      </c>
      <c r="G67" s="40"/>
      <c r="H67" s="40"/>
      <c r="I67" s="40">
        <f t="shared" si="3"/>
        <v>0.60375000000000001</v>
      </c>
      <c r="J67" s="40">
        <f t="shared" si="1"/>
        <v>0.60375000000000001</v>
      </c>
      <c r="K67" s="40">
        <f t="shared" si="4"/>
        <v>0.60375000000000001</v>
      </c>
      <c r="L67" s="40"/>
      <c r="M67" s="59"/>
      <c r="N67" s="97"/>
      <c r="O67" s="32"/>
      <c r="P67" s="85"/>
      <c r="Q67" s="126"/>
      <c r="R67" s="126"/>
      <c r="S67" s="126"/>
      <c r="T67" s="85"/>
      <c r="U67" s="85"/>
      <c r="V67" s="85"/>
      <c r="W67" s="85"/>
    </row>
    <row r="68" spans="1:23" s="33" customFormat="1" ht="13.8" x14ac:dyDescent="0.25">
      <c r="A68" s="34"/>
      <c r="B68" s="39"/>
      <c r="C68" s="40">
        <v>1</v>
      </c>
      <c r="D68" s="40">
        <v>14.5</v>
      </c>
      <c r="E68" s="40">
        <v>0.25</v>
      </c>
      <c r="F68" s="40">
        <v>0.35</v>
      </c>
      <c r="G68" s="40"/>
      <c r="H68" s="40"/>
      <c r="I68" s="40">
        <f t="shared" si="3"/>
        <v>1.2687499999999998</v>
      </c>
      <c r="J68" s="40">
        <f t="shared" si="1"/>
        <v>1.2687499999999998</v>
      </c>
      <c r="K68" s="40">
        <f t="shared" si="4"/>
        <v>1.2687499999999998</v>
      </c>
      <c r="L68" s="40"/>
      <c r="M68" s="59"/>
      <c r="N68" s="97"/>
      <c r="O68" s="32"/>
      <c r="P68" s="85"/>
      <c r="Q68" s="126"/>
      <c r="R68" s="126"/>
      <c r="S68" s="126"/>
      <c r="T68" s="85"/>
      <c r="U68" s="85"/>
      <c r="V68" s="85"/>
      <c r="W68" s="85"/>
    </row>
    <row r="69" spans="1:23" s="33" customFormat="1" ht="13.8" x14ac:dyDescent="0.25">
      <c r="A69" s="34"/>
      <c r="B69" s="35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59"/>
      <c r="N69" s="97"/>
      <c r="O69" s="32"/>
      <c r="P69" s="85"/>
      <c r="Q69" s="126"/>
      <c r="R69" s="126"/>
      <c r="S69" s="126"/>
      <c r="T69" s="85"/>
      <c r="U69" s="85"/>
      <c r="V69" s="85"/>
      <c r="W69" s="85"/>
    </row>
    <row r="70" spans="1:23" s="33" customFormat="1" ht="14.4" x14ac:dyDescent="0.3">
      <c r="A70" s="34"/>
      <c r="B70" s="61" t="s">
        <v>455</v>
      </c>
      <c r="C70" s="36"/>
      <c r="D70" s="37"/>
      <c r="E70" s="134"/>
      <c r="F70" s="31"/>
      <c r="G70" s="31"/>
      <c r="H70" s="31"/>
      <c r="I70" s="31"/>
      <c r="J70" s="40"/>
      <c r="K70" s="40"/>
      <c r="L70" s="131">
        <v>1.2</v>
      </c>
      <c r="M70" s="59">
        <f>+(I71-J72)*L70</f>
        <v>75.785339999999962</v>
      </c>
      <c r="N70" s="97" t="s">
        <v>11</v>
      </c>
      <c r="O70" s="32"/>
      <c r="P70" s="85"/>
      <c r="Q70" s="126"/>
      <c r="R70" s="126"/>
      <c r="S70" s="126"/>
      <c r="T70" s="85"/>
      <c r="U70" s="85"/>
      <c r="V70" s="85"/>
      <c r="W70" s="85"/>
    </row>
    <row r="71" spans="1:23" s="33" customFormat="1" ht="13.8" x14ac:dyDescent="0.25">
      <c r="A71" s="34"/>
      <c r="B71" s="35" t="s">
        <v>457</v>
      </c>
      <c r="C71" s="40">
        <v>1</v>
      </c>
      <c r="D71" s="40"/>
      <c r="E71" s="40"/>
      <c r="F71" s="40"/>
      <c r="G71" s="40"/>
      <c r="H71" s="40"/>
      <c r="I71" s="40">
        <f>+M32</f>
        <v>121.39374999999995</v>
      </c>
      <c r="J71" s="40"/>
      <c r="K71" s="40"/>
      <c r="L71" s="40"/>
      <c r="M71" s="59"/>
      <c r="N71" s="97"/>
      <c r="O71" s="32"/>
      <c r="P71" s="85"/>
      <c r="Q71" s="126"/>
      <c r="R71" s="126"/>
      <c r="S71" s="126"/>
      <c r="T71" s="85"/>
      <c r="U71" s="85"/>
      <c r="V71" s="85"/>
      <c r="W71" s="85"/>
    </row>
    <row r="72" spans="1:23" s="33" customFormat="1" ht="13.8" x14ac:dyDescent="0.25">
      <c r="A72" s="34"/>
      <c r="B72" s="35" t="s">
        <v>458</v>
      </c>
      <c r="C72" s="40">
        <v>1</v>
      </c>
      <c r="D72" s="40"/>
      <c r="E72" s="40"/>
      <c r="F72" s="40"/>
      <c r="G72" s="40"/>
      <c r="H72" s="40"/>
      <c r="I72" s="40">
        <f>+M80</f>
        <v>7.3461249999999989</v>
      </c>
      <c r="J72" s="130">
        <f>+I72+I73</f>
        <v>58.239299999999986</v>
      </c>
      <c r="K72" s="40"/>
      <c r="L72" s="40"/>
      <c r="M72" s="59"/>
      <c r="N72" s="97"/>
      <c r="O72" s="32"/>
      <c r="P72" s="85"/>
      <c r="Q72" s="126"/>
      <c r="R72" s="126"/>
      <c r="S72" s="126"/>
      <c r="T72" s="85"/>
      <c r="U72" s="85"/>
      <c r="V72" s="85"/>
      <c r="W72" s="85"/>
    </row>
    <row r="73" spans="1:23" s="33" customFormat="1" ht="13.8" x14ac:dyDescent="0.25">
      <c r="A73" s="34"/>
      <c r="B73" s="35" t="s">
        <v>459</v>
      </c>
      <c r="C73" s="40">
        <v>1</v>
      </c>
      <c r="D73" s="40"/>
      <c r="E73" s="40"/>
      <c r="F73" s="40"/>
      <c r="G73" s="40"/>
      <c r="H73" s="40"/>
      <c r="I73" s="40">
        <f>+M240</f>
        <v>50.893174999999985</v>
      </c>
      <c r="J73" s="40"/>
      <c r="K73" s="40"/>
      <c r="L73" s="40"/>
      <c r="M73" s="59"/>
      <c r="N73" s="97"/>
      <c r="O73" s="32"/>
      <c r="P73" s="85"/>
      <c r="Q73" s="126"/>
      <c r="R73" s="126"/>
      <c r="S73" s="126"/>
      <c r="T73" s="85"/>
      <c r="U73" s="85"/>
      <c r="V73" s="85"/>
      <c r="W73" s="85"/>
    </row>
    <row r="74" spans="1:23" s="33" customFormat="1" ht="13.8" x14ac:dyDescent="0.25">
      <c r="A74" s="34"/>
      <c r="B74" s="35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59"/>
      <c r="N74" s="97"/>
      <c r="O74" s="32"/>
      <c r="P74" s="85"/>
      <c r="Q74" s="126"/>
      <c r="R74" s="126"/>
      <c r="S74" s="126"/>
      <c r="T74" s="85"/>
      <c r="U74" s="85"/>
      <c r="V74" s="85"/>
      <c r="W74" s="85"/>
    </row>
    <row r="75" spans="1:23" s="33" customFormat="1" ht="14.4" x14ac:dyDescent="0.3">
      <c r="A75" s="34"/>
      <c r="B75" s="61" t="s">
        <v>456</v>
      </c>
      <c r="C75" s="36"/>
      <c r="D75" s="37"/>
      <c r="E75" s="134"/>
      <c r="F75" s="31"/>
      <c r="G75" s="31"/>
      <c r="H75" s="31"/>
      <c r="I75" s="31"/>
      <c r="J75" s="40"/>
      <c r="K75" s="40"/>
      <c r="L75" s="131">
        <v>1.3</v>
      </c>
      <c r="M75" s="59">
        <f>+(I76-I77)*L75</f>
        <v>59.290932999999988</v>
      </c>
      <c r="N75" s="97" t="s">
        <v>11</v>
      </c>
      <c r="O75" s="32"/>
      <c r="P75" s="85"/>
      <c r="Q75" s="126"/>
      <c r="R75" s="126"/>
      <c r="S75" s="126"/>
      <c r="T75" s="85"/>
      <c r="U75" s="85"/>
      <c r="V75" s="85"/>
      <c r="W75" s="85"/>
    </row>
    <row r="76" spans="1:23" s="33" customFormat="1" ht="13.8" x14ac:dyDescent="0.25">
      <c r="A76" s="34"/>
      <c r="B76" s="35" t="s">
        <v>457</v>
      </c>
      <c r="C76" s="40">
        <v>1</v>
      </c>
      <c r="D76" s="40"/>
      <c r="E76" s="40"/>
      <c r="F76" s="40"/>
      <c r="G76" s="40"/>
      <c r="H76" s="40"/>
      <c r="I76" s="40">
        <f>+M32</f>
        <v>121.39374999999995</v>
      </c>
      <c r="J76" s="40"/>
      <c r="K76" s="40"/>
      <c r="L76" s="40"/>
      <c r="M76" s="59"/>
      <c r="N76" s="97"/>
      <c r="O76" s="32"/>
      <c r="P76" s="85"/>
      <c r="Q76" s="126"/>
      <c r="R76" s="126"/>
      <c r="S76" s="126"/>
      <c r="T76" s="85"/>
      <c r="U76" s="85"/>
      <c r="V76" s="85"/>
      <c r="W76" s="85"/>
    </row>
    <row r="77" spans="1:23" s="33" customFormat="1" ht="13.8" x14ac:dyDescent="0.25">
      <c r="A77" s="34"/>
      <c r="B77" s="35" t="s">
        <v>417</v>
      </c>
      <c r="C77" s="40">
        <v>1</v>
      </c>
      <c r="D77" s="40"/>
      <c r="E77" s="40"/>
      <c r="F77" s="40"/>
      <c r="G77" s="40"/>
      <c r="H77" s="40"/>
      <c r="I77" s="40">
        <f>+M70</f>
        <v>75.785339999999962</v>
      </c>
      <c r="J77" s="40"/>
      <c r="K77" s="40"/>
      <c r="L77" s="40"/>
      <c r="M77" s="59"/>
      <c r="N77" s="97"/>
      <c r="O77" s="32"/>
      <c r="P77" s="85"/>
      <c r="Q77" s="126"/>
      <c r="R77" s="126"/>
      <c r="S77" s="126"/>
      <c r="T77" s="85"/>
      <c r="U77" s="85"/>
      <c r="V77" s="85"/>
      <c r="W77" s="85"/>
    </row>
    <row r="78" spans="1:23" s="33" customFormat="1" ht="13.8" x14ac:dyDescent="0.25">
      <c r="A78" s="34"/>
      <c r="B78" s="35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59"/>
      <c r="N78" s="97"/>
      <c r="O78" s="32"/>
      <c r="P78" s="85"/>
      <c r="Q78" s="126"/>
      <c r="R78" s="126"/>
      <c r="S78" s="126"/>
      <c r="T78" s="85"/>
      <c r="U78" s="85"/>
      <c r="V78" s="85"/>
      <c r="W78" s="85"/>
    </row>
    <row r="79" spans="1:23" s="33" customFormat="1" ht="13.8" x14ac:dyDescent="0.25">
      <c r="A79" s="28" t="s">
        <v>16</v>
      </c>
      <c r="B79" s="29" t="s">
        <v>15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59"/>
      <c r="N79" s="97"/>
      <c r="O79" s="32"/>
      <c r="P79" s="85"/>
      <c r="Q79" s="126"/>
      <c r="R79" s="126"/>
      <c r="S79" s="126"/>
      <c r="T79" s="85"/>
      <c r="U79" s="85"/>
      <c r="V79" s="85"/>
      <c r="W79" s="85"/>
    </row>
    <row r="80" spans="1:23" s="33" customFormat="1" ht="27" customHeight="1" x14ac:dyDescent="0.25">
      <c r="A80" s="34"/>
      <c r="B80" s="61" t="s">
        <v>43</v>
      </c>
      <c r="C80" s="40"/>
      <c r="D80" s="40"/>
      <c r="E80" s="40"/>
      <c r="F80" s="40"/>
      <c r="G80" s="40"/>
      <c r="H80" s="40"/>
      <c r="I80" s="40"/>
      <c r="J80" s="40"/>
      <c r="K80" s="40"/>
      <c r="L80" s="131">
        <v>1</v>
      </c>
      <c r="M80" s="59">
        <f>+SUM(K81:K116)*L80</f>
        <v>7.3461249999999989</v>
      </c>
      <c r="N80" s="97" t="s">
        <v>11</v>
      </c>
      <c r="O80" s="32"/>
      <c r="P80" s="85"/>
      <c r="Q80" s="126"/>
      <c r="R80" s="126"/>
      <c r="S80" s="126"/>
      <c r="T80" s="85"/>
      <c r="U80" s="85"/>
      <c r="V80" s="85"/>
      <c r="W80" s="85"/>
    </row>
    <row r="81" spans="1:23" s="33" customFormat="1" ht="13.8" x14ac:dyDescent="0.25">
      <c r="A81" s="34"/>
      <c r="B81" s="61" t="s">
        <v>194</v>
      </c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59"/>
      <c r="N81" s="97"/>
      <c r="O81" s="32"/>
      <c r="P81" s="85"/>
      <c r="Q81" s="126"/>
      <c r="R81" s="126"/>
      <c r="S81" s="126"/>
      <c r="T81" s="85"/>
      <c r="U81" s="85"/>
      <c r="V81" s="85"/>
      <c r="W81" s="85"/>
    </row>
    <row r="82" spans="1:23" s="33" customFormat="1" ht="13.8" x14ac:dyDescent="0.25">
      <c r="A82" s="34"/>
      <c r="B82" s="35"/>
      <c r="C82" s="40">
        <v>1</v>
      </c>
      <c r="D82" s="40">
        <v>15.2</v>
      </c>
      <c r="E82" s="40">
        <v>1.2</v>
      </c>
      <c r="F82" s="40">
        <v>0.05</v>
      </c>
      <c r="G82" s="40"/>
      <c r="H82" s="40"/>
      <c r="I82" s="40">
        <f>+F82*E82*D82</f>
        <v>0.91199999999999992</v>
      </c>
      <c r="J82" s="40">
        <f>+I82</f>
        <v>0.91199999999999992</v>
      </c>
      <c r="K82" s="40">
        <f>+J82*C82</f>
        <v>0.91199999999999992</v>
      </c>
      <c r="L82" s="40"/>
      <c r="M82" s="59"/>
      <c r="N82" s="97"/>
      <c r="O82" s="32"/>
      <c r="P82" s="85"/>
      <c r="Q82" s="126"/>
      <c r="R82" s="126"/>
      <c r="S82" s="126"/>
      <c r="T82" s="85"/>
      <c r="U82" s="85"/>
      <c r="V82" s="85"/>
      <c r="W82" s="85"/>
    </row>
    <row r="83" spans="1:23" s="33" customFormat="1" ht="13.8" x14ac:dyDescent="0.25">
      <c r="A83" s="34"/>
      <c r="B83" s="35"/>
      <c r="C83" s="40">
        <v>1</v>
      </c>
      <c r="D83" s="40">
        <v>9.6</v>
      </c>
      <c r="E83" s="40">
        <v>1.75</v>
      </c>
      <c r="F83" s="40">
        <v>0.05</v>
      </c>
      <c r="G83" s="40"/>
      <c r="H83" s="40"/>
      <c r="I83" s="40">
        <f t="shared" ref="I83:I97" si="5">+F83*E83*D83</f>
        <v>0.84000000000000008</v>
      </c>
      <c r="J83" s="40">
        <f t="shared" ref="J83:J116" si="6">+I83</f>
        <v>0.84000000000000008</v>
      </c>
      <c r="K83" s="40">
        <f t="shared" ref="K83:K97" si="7">+J83*C83</f>
        <v>0.84000000000000008</v>
      </c>
      <c r="L83" s="40"/>
      <c r="M83" s="59"/>
      <c r="N83" s="97"/>
      <c r="O83" s="32"/>
      <c r="P83" s="85"/>
      <c r="Q83" s="126"/>
      <c r="R83" s="126"/>
      <c r="S83" s="126"/>
      <c r="T83" s="85"/>
      <c r="U83" s="85"/>
      <c r="V83" s="85"/>
      <c r="W83" s="85"/>
    </row>
    <row r="84" spans="1:23" s="33" customFormat="1" ht="13.8" x14ac:dyDescent="0.25">
      <c r="A84" s="34"/>
      <c r="B84" s="35"/>
      <c r="C84" s="40">
        <v>1</v>
      </c>
      <c r="D84" s="40">
        <v>4.5999999999999996</v>
      </c>
      <c r="E84" s="40">
        <v>1.3</v>
      </c>
      <c r="F84" s="40">
        <v>0.05</v>
      </c>
      <c r="G84" s="40"/>
      <c r="H84" s="40"/>
      <c r="I84" s="40">
        <f t="shared" si="5"/>
        <v>0.29899999999999999</v>
      </c>
      <c r="J84" s="40">
        <f t="shared" si="6"/>
        <v>0.29899999999999999</v>
      </c>
      <c r="K84" s="40">
        <f t="shared" si="7"/>
        <v>0.29899999999999999</v>
      </c>
      <c r="L84" s="40"/>
      <c r="M84" s="59"/>
      <c r="N84" s="97"/>
      <c r="O84" s="32"/>
      <c r="P84" s="85"/>
      <c r="Q84" s="126"/>
      <c r="R84" s="126"/>
      <c r="S84" s="126"/>
      <c r="T84" s="85"/>
      <c r="U84" s="85"/>
      <c r="V84" s="85"/>
      <c r="W84" s="85"/>
    </row>
    <row r="85" spans="1:23" s="33" customFormat="1" ht="13.8" x14ac:dyDescent="0.25">
      <c r="A85" s="34"/>
      <c r="B85" s="35"/>
      <c r="C85" s="40">
        <v>1</v>
      </c>
      <c r="D85" s="40">
        <v>16.5</v>
      </c>
      <c r="E85" s="40">
        <v>1</v>
      </c>
      <c r="F85" s="40">
        <v>0.05</v>
      </c>
      <c r="G85" s="40"/>
      <c r="H85" s="40"/>
      <c r="I85" s="40">
        <f t="shared" si="5"/>
        <v>0.82500000000000007</v>
      </c>
      <c r="J85" s="40">
        <f t="shared" si="6"/>
        <v>0.82500000000000007</v>
      </c>
      <c r="K85" s="40">
        <f t="shared" si="7"/>
        <v>0.82500000000000007</v>
      </c>
      <c r="L85" s="40"/>
      <c r="M85" s="59"/>
      <c r="N85" s="97"/>
      <c r="O85" s="32"/>
      <c r="P85" s="85"/>
      <c r="Q85" s="126"/>
      <c r="R85" s="126"/>
      <c r="S85" s="126"/>
      <c r="T85" s="85"/>
      <c r="U85" s="85"/>
      <c r="V85" s="85"/>
      <c r="W85" s="85"/>
    </row>
    <row r="86" spans="1:23" s="33" customFormat="1" ht="13.8" x14ac:dyDescent="0.25">
      <c r="A86" s="34"/>
      <c r="B86" s="35"/>
      <c r="C86" s="40">
        <v>1</v>
      </c>
      <c r="D86" s="40">
        <v>7.8</v>
      </c>
      <c r="E86" s="40">
        <v>0.95</v>
      </c>
      <c r="F86" s="40">
        <v>0.05</v>
      </c>
      <c r="G86" s="40"/>
      <c r="H86" s="40"/>
      <c r="I86" s="40">
        <f t="shared" si="5"/>
        <v>0.3705</v>
      </c>
      <c r="J86" s="40">
        <f t="shared" si="6"/>
        <v>0.3705</v>
      </c>
      <c r="K86" s="40">
        <f t="shared" si="7"/>
        <v>0.3705</v>
      </c>
      <c r="L86" s="40"/>
      <c r="M86" s="59"/>
      <c r="N86" s="97"/>
      <c r="O86" s="32"/>
      <c r="P86" s="85"/>
      <c r="Q86" s="126"/>
      <c r="R86" s="126"/>
      <c r="S86" s="126"/>
      <c r="T86" s="85"/>
      <c r="U86" s="85"/>
      <c r="V86" s="85"/>
      <c r="W86" s="85"/>
    </row>
    <row r="87" spans="1:23" s="33" customFormat="1" ht="13.8" x14ac:dyDescent="0.25">
      <c r="A87" s="34"/>
      <c r="B87" s="67"/>
      <c r="C87" s="40">
        <v>1</v>
      </c>
      <c r="D87" s="40">
        <v>7.8</v>
      </c>
      <c r="E87" s="40">
        <v>1.2</v>
      </c>
      <c r="F87" s="40">
        <v>0.05</v>
      </c>
      <c r="G87" s="40"/>
      <c r="H87" s="40"/>
      <c r="I87" s="40">
        <f t="shared" si="5"/>
        <v>0.46799999999999997</v>
      </c>
      <c r="J87" s="40">
        <f t="shared" si="6"/>
        <v>0.46799999999999997</v>
      </c>
      <c r="K87" s="40">
        <f t="shared" si="7"/>
        <v>0.46799999999999997</v>
      </c>
      <c r="L87" s="40"/>
      <c r="M87" s="59"/>
      <c r="N87" s="97"/>
      <c r="O87" s="32"/>
      <c r="P87" s="85"/>
      <c r="Q87" s="126"/>
      <c r="R87" s="126"/>
      <c r="S87" s="126"/>
      <c r="T87" s="85"/>
      <c r="U87" s="85"/>
      <c r="V87" s="85"/>
      <c r="W87" s="85"/>
    </row>
    <row r="88" spans="1:23" s="33" customFormat="1" ht="13.8" x14ac:dyDescent="0.25">
      <c r="A88" s="34"/>
      <c r="B88" s="67"/>
      <c r="C88" s="40">
        <v>1</v>
      </c>
      <c r="D88" s="40">
        <v>2.2000000000000002</v>
      </c>
      <c r="E88" s="40">
        <v>0.6</v>
      </c>
      <c r="F88" s="40">
        <v>0.05</v>
      </c>
      <c r="G88" s="40"/>
      <c r="H88" s="40"/>
      <c r="I88" s="40">
        <f t="shared" si="5"/>
        <v>6.6000000000000003E-2</v>
      </c>
      <c r="J88" s="40">
        <f t="shared" si="6"/>
        <v>6.6000000000000003E-2</v>
      </c>
      <c r="K88" s="40">
        <f t="shared" si="7"/>
        <v>6.6000000000000003E-2</v>
      </c>
      <c r="L88" s="40"/>
      <c r="M88" s="59"/>
      <c r="N88" s="97"/>
      <c r="O88" s="32"/>
      <c r="P88" s="85"/>
      <c r="Q88" s="126"/>
      <c r="R88" s="126"/>
      <c r="S88" s="126"/>
      <c r="T88" s="85"/>
      <c r="U88" s="85"/>
      <c r="V88" s="85"/>
      <c r="W88" s="85"/>
    </row>
    <row r="89" spans="1:23" s="33" customFormat="1" ht="13.8" x14ac:dyDescent="0.25">
      <c r="A89" s="34"/>
      <c r="B89" s="61" t="s">
        <v>454</v>
      </c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59"/>
      <c r="N89" s="97"/>
      <c r="O89" s="32"/>
      <c r="P89" s="85"/>
      <c r="Q89" s="126"/>
      <c r="R89" s="126"/>
      <c r="S89" s="126"/>
      <c r="T89" s="85"/>
      <c r="U89" s="85"/>
      <c r="V89" s="85"/>
      <c r="W89" s="85"/>
    </row>
    <row r="90" spans="1:23" s="33" customFormat="1" ht="13.8" x14ac:dyDescent="0.25">
      <c r="A90" s="34"/>
      <c r="B90" s="35"/>
      <c r="C90" s="40">
        <v>1</v>
      </c>
      <c r="D90" s="40">
        <v>1.75</v>
      </c>
      <c r="E90" s="40">
        <v>1.95</v>
      </c>
      <c r="F90" s="40">
        <v>0.05</v>
      </c>
      <c r="G90" s="40"/>
      <c r="H90" s="40"/>
      <c r="I90" s="40">
        <f t="shared" si="5"/>
        <v>0.170625</v>
      </c>
      <c r="J90" s="40">
        <f t="shared" si="6"/>
        <v>0.170625</v>
      </c>
      <c r="K90" s="40">
        <f t="shared" si="7"/>
        <v>0.170625</v>
      </c>
      <c r="L90" s="40"/>
      <c r="M90" s="59"/>
      <c r="N90" s="97"/>
      <c r="O90" s="32"/>
      <c r="P90" s="85"/>
      <c r="Q90" s="126"/>
      <c r="R90" s="126"/>
      <c r="S90" s="126"/>
      <c r="T90" s="85"/>
      <c r="U90" s="85"/>
      <c r="V90" s="85"/>
      <c r="W90" s="85"/>
    </row>
    <row r="91" spans="1:23" s="33" customFormat="1" ht="13.8" x14ac:dyDescent="0.25">
      <c r="A91" s="34"/>
      <c r="B91" s="67"/>
      <c r="C91" s="40">
        <v>1</v>
      </c>
      <c r="D91" s="40">
        <v>1.7</v>
      </c>
      <c r="E91" s="40">
        <v>1.9</v>
      </c>
      <c r="F91" s="40">
        <v>0.05</v>
      </c>
      <c r="G91" s="40"/>
      <c r="H91" s="40"/>
      <c r="I91" s="40">
        <f t="shared" si="5"/>
        <v>0.1615</v>
      </c>
      <c r="J91" s="40">
        <f t="shared" si="6"/>
        <v>0.1615</v>
      </c>
      <c r="K91" s="40">
        <f t="shared" si="7"/>
        <v>0.1615</v>
      </c>
      <c r="L91" s="40"/>
      <c r="M91" s="59"/>
      <c r="N91" s="97"/>
      <c r="O91" s="32"/>
      <c r="P91" s="85"/>
      <c r="Q91" s="126"/>
      <c r="R91" s="126"/>
      <c r="S91" s="126"/>
      <c r="T91" s="85"/>
      <c r="U91" s="85"/>
      <c r="V91" s="85"/>
      <c r="W91" s="85"/>
    </row>
    <row r="92" spans="1:23" s="33" customFormat="1" ht="13.8" x14ac:dyDescent="0.25">
      <c r="A92" s="34"/>
      <c r="B92" s="35"/>
      <c r="C92" s="40">
        <v>4</v>
      </c>
      <c r="D92" s="40">
        <v>1.05</v>
      </c>
      <c r="E92" s="40">
        <v>1.05</v>
      </c>
      <c r="F92" s="40">
        <v>0.05</v>
      </c>
      <c r="G92" s="40"/>
      <c r="H92" s="40"/>
      <c r="I92" s="40">
        <f t="shared" si="5"/>
        <v>5.5125000000000007E-2</v>
      </c>
      <c r="J92" s="40">
        <f t="shared" si="6"/>
        <v>5.5125000000000007E-2</v>
      </c>
      <c r="K92" s="40">
        <f t="shared" si="7"/>
        <v>0.22050000000000003</v>
      </c>
      <c r="L92" s="40"/>
      <c r="M92" s="59"/>
      <c r="N92" s="97"/>
      <c r="O92" s="32"/>
      <c r="P92" s="85"/>
      <c r="Q92" s="126"/>
      <c r="R92" s="126"/>
      <c r="S92" s="126"/>
      <c r="T92" s="85"/>
      <c r="U92" s="85"/>
      <c r="V92" s="85"/>
      <c r="W92" s="85"/>
    </row>
    <row r="93" spans="1:23" s="33" customFormat="1" ht="13.8" x14ac:dyDescent="0.25">
      <c r="A93" s="34"/>
      <c r="B93" s="35"/>
      <c r="C93" s="40">
        <v>1</v>
      </c>
      <c r="D93" s="40">
        <v>1.35</v>
      </c>
      <c r="E93" s="40">
        <v>1.35</v>
      </c>
      <c r="F93" s="40">
        <v>0.05</v>
      </c>
      <c r="G93" s="40"/>
      <c r="H93" s="40"/>
      <c r="I93" s="40">
        <f t="shared" si="5"/>
        <v>9.1125000000000012E-2</v>
      </c>
      <c r="J93" s="40">
        <f t="shared" si="6"/>
        <v>9.1125000000000012E-2</v>
      </c>
      <c r="K93" s="40">
        <f t="shared" si="7"/>
        <v>9.1125000000000012E-2</v>
      </c>
      <c r="L93" s="40"/>
      <c r="M93" s="59"/>
      <c r="N93" s="97"/>
      <c r="O93" s="32"/>
      <c r="P93" s="85"/>
      <c r="Q93" s="126"/>
      <c r="R93" s="126"/>
      <c r="S93" s="126"/>
      <c r="T93" s="85"/>
      <c r="U93" s="85"/>
      <c r="V93" s="85"/>
      <c r="W93" s="85"/>
    </row>
    <row r="94" spans="1:23" s="33" customFormat="1" ht="13.8" x14ac:dyDescent="0.25">
      <c r="A94" s="34"/>
      <c r="B94" s="35"/>
      <c r="C94" s="40">
        <v>1</v>
      </c>
      <c r="D94" s="40">
        <v>2</v>
      </c>
      <c r="E94" s="40">
        <v>2</v>
      </c>
      <c r="F94" s="40">
        <v>0.05</v>
      </c>
      <c r="G94" s="40"/>
      <c r="H94" s="40"/>
      <c r="I94" s="40">
        <f t="shared" si="5"/>
        <v>0.2</v>
      </c>
      <c r="J94" s="40">
        <f t="shared" si="6"/>
        <v>0.2</v>
      </c>
      <c r="K94" s="40">
        <f t="shared" si="7"/>
        <v>0.2</v>
      </c>
      <c r="L94" s="40"/>
      <c r="M94" s="59"/>
      <c r="N94" s="97"/>
      <c r="O94" s="32"/>
      <c r="P94" s="85"/>
      <c r="Q94" s="126"/>
      <c r="R94" s="126"/>
      <c r="S94" s="126"/>
      <c r="T94" s="85"/>
      <c r="U94" s="85"/>
      <c r="V94" s="85"/>
      <c r="W94" s="85"/>
    </row>
    <row r="95" spans="1:23" s="33" customFormat="1" ht="13.8" x14ac:dyDescent="0.25">
      <c r="A95" s="34"/>
      <c r="B95" s="35"/>
      <c r="C95" s="40">
        <v>1</v>
      </c>
      <c r="D95" s="40">
        <v>0.9</v>
      </c>
      <c r="E95" s="40">
        <v>0.9</v>
      </c>
      <c r="F95" s="40">
        <v>0.05</v>
      </c>
      <c r="G95" s="40"/>
      <c r="H95" s="40"/>
      <c r="I95" s="40">
        <f t="shared" si="5"/>
        <v>4.0500000000000008E-2</v>
      </c>
      <c r="J95" s="40">
        <f t="shared" si="6"/>
        <v>4.0500000000000008E-2</v>
      </c>
      <c r="K95" s="40">
        <f t="shared" si="7"/>
        <v>4.0500000000000008E-2</v>
      </c>
      <c r="L95" s="40"/>
      <c r="M95" s="59"/>
      <c r="N95" s="97"/>
      <c r="O95" s="32"/>
      <c r="P95" s="85"/>
      <c r="Q95" s="126"/>
      <c r="R95" s="126"/>
      <c r="S95" s="126"/>
      <c r="T95" s="85"/>
      <c r="U95" s="85"/>
      <c r="V95" s="85"/>
      <c r="W95" s="85"/>
    </row>
    <row r="96" spans="1:23" s="33" customFormat="1" ht="13.8" x14ac:dyDescent="0.25">
      <c r="A96" s="34"/>
      <c r="B96" s="35"/>
      <c r="C96" s="40">
        <v>1</v>
      </c>
      <c r="D96" s="40">
        <v>2.0499999999999998</v>
      </c>
      <c r="E96" s="40">
        <v>2.0499999999999998</v>
      </c>
      <c r="F96" s="40">
        <v>0.05</v>
      </c>
      <c r="G96" s="40"/>
      <c r="H96" s="40"/>
      <c r="I96" s="40">
        <f t="shared" si="5"/>
        <v>0.21012499999999998</v>
      </c>
      <c r="J96" s="40">
        <f t="shared" si="6"/>
        <v>0.21012499999999998</v>
      </c>
      <c r="K96" s="40">
        <f t="shared" si="7"/>
        <v>0.21012499999999998</v>
      </c>
      <c r="L96" s="40"/>
      <c r="M96" s="59"/>
      <c r="N96" s="97"/>
      <c r="O96" s="32"/>
      <c r="P96" s="85"/>
      <c r="Q96" s="126"/>
      <c r="R96" s="126"/>
      <c r="S96" s="126"/>
      <c r="T96" s="85"/>
      <c r="U96" s="85"/>
      <c r="V96" s="85"/>
      <c r="W96" s="85"/>
    </row>
    <row r="97" spans="1:23" s="33" customFormat="1" ht="13.8" x14ac:dyDescent="0.25">
      <c r="A97" s="34"/>
      <c r="B97" s="35"/>
      <c r="C97" s="40">
        <v>1</v>
      </c>
      <c r="D97" s="40">
        <v>3.5</v>
      </c>
      <c r="E97" s="40">
        <v>2.9</v>
      </c>
      <c r="F97" s="40">
        <v>0.05</v>
      </c>
      <c r="G97" s="40"/>
      <c r="H97" s="40"/>
      <c r="I97" s="40">
        <f t="shared" si="5"/>
        <v>0.50749999999999995</v>
      </c>
      <c r="J97" s="40">
        <f t="shared" si="6"/>
        <v>0.50749999999999995</v>
      </c>
      <c r="K97" s="40">
        <f t="shared" si="7"/>
        <v>0.50749999999999995</v>
      </c>
      <c r="L97" s="40"/>
      <c r="M97" s="59"/>
      <c r="N97" s="97"/>
      <c r="O97" s="32"/>
      <c r="P97" s="85"/>
      <c r="Q97" s="126"/>
      <c r="R97" s="126"/>
      <c r="S97" s="126"/>
      <c r="T97" s="85"/>
      <c r="U97" s="85"/>
      <c r="V97" s="85"/>
      <c r="W97" s="85"/>
    </row>
    <row r="98" spans="1:23" s="33" customFormat="1" ht="13.8" x14ac:dyDescent="0.25">
      <c r="A98" s="34"/>
      <c r="B98" s="58"/>
      <c r="C98" s="59"/>
      <c r="D98" s="40"/>
      <c r="E98" s="40"/>
      <c r="F98" s="40"/>
      <c r="G98" s="40"/>
      <c r="H98" s="40"/>
      <c r="I98" s="40"/>
      <c r="J98" s="40"/>
      <c r="K98" s="40"/>
      <c r="L98" s="40"/>
      <c r="M98" s="59"/>
      <c r="N98" s="97"/>
      <c r="O98" s="32"/>
      <c r="P98" s="85"/>
      <c r="Q98" s="126"/>
      <c r="R98" s="126"/>
      <c r="S98" s="126"/>
      <c r="T98" s="85"/>
      <c r="U98" s="85"/>
      <c r="V98" s="85"/>
      <c r="W98" s="85"/>
    </row>
    <row r="99" spans="1:23" s="33" customFormat="1" ht="13.8" x14ac:dyDescent="0.25">
      <c r="A99" s="34"/>
      <c r="B99" s="61" t="s">
        <v>104</v>
      </c>
      <c r="C99" s="40"/>
      <c r="D99" s="40"/>
      <c r="E99" s="40"/>
      <c r="F99" s="40"/>
      <c r="G99" s="40"/>
      <c r="H99" s="40"/>
      <c r="I99" s="40"/>
      <c r="J99" s="40"/>
      <c r="K99" s="40"/>
      <c r="L99" s="167"/>
      <c r="M99" s="59"/>
      <c r="N99" s="97"/>
      <c r="O99" s="32"/>
      <c r="P99" s="85"/>
      <c r="Q99" s="126"/>
      <c r="R99" s="126"/>
      <c r="S99" s="126"/>
      <c r="T99" s="85"/>
      <c r="U99" s="85"/>
      <c r="V99" s="85"/>
      <c r="W99" s="85"/>
    </row>
    <row r="100" spans="1:23" s="33" customFormat="1" ht="13.8" x14ac:dyDescent="0.25">
      <c r="A100" s="34"/>
      <c r="B100" s="39"/>
      <c r="C100" s="40">
        <v>1</v>
      </c>
      <c r="D100" s="40">
        <v>14.1</v>
      </c>
      <c r="E100" s="40">
        <v>0.25</v>
      </c>
      <c r="F100" s="40">
        <v>0.05</v>
      </c>
      <c r="G100" s="40"/>
      <c r="H100" s="40"/>
      <c r="I100" s="40">
        <f t="shared" ref="I100:I116" si="8">+F100*E100*D100</f>
        <v>0.17625000000000002</v>
      </c>
      <c r="J100" s="40">
        <f t="shared" si="6"/>
        <v>0.17625000000000002</v>
      </c>
      <c r="K100" s="40">
        <f t="shared" ref="K100:K116" si="9">+J100*C100</f>
        <v>0.17625000000000002</v>
      </c>
      <c r="L100" s="40"/>
      <c r="M100" s="59"/>
      <c r="N100" s="97"/>
      <c r="O100" s="32"/>
      <c r="P100" s="85"/>
      <c r="Q100" s="126"/>
      <c r="R100" s="126"/>
      <c r="S100" s="126"/>
      <c r="T100" s="85"/>
      <c r="U100" s="85"/>
      <c r="V100" s="85"/>
      <c r="W100" s="85"/>
    </row>
    <row r="101" spans="1:23" s="33" customFormat="1" ht="13.8" x14ac:dyDescent="0.25">
      <c r="A101" s="34"/>
      <c r="B101" s="39"/>
      <c r="C101" s="40">
        <v>1</v>
      </c>
      <c r="D101" s="40">
        <v>7.4</v>
      </c>
      <c r="E101" s="40">
        <v>0.25</v>
      </c>
      <c r="F101" s="40">
        <v>0.05</v>
      </c>
      <c r="G101" s="40"/>
      <c r="H101" s="40"/>
      <c r="I101" s="40">
        <f t="shared" si="8"/>
        <v>9.2500000000000013E-2</v>
      </c>
      <c r="J101" s="40">
        <f t="shared" si="6"/>
        <v>9.2500000000000013E-2</v>
      </c>
      <c r="K101" s="40">
        <f t="shared" si="9"/>
        <v>9.2500000000000013E-2</v>
      </c>
      <c r="L101" s="40"/>
      <c r="M101" s="59"/>
      <c r="N101" s="97"/>
      <c r="O101" s="32"/>
      <c r="P101" s="85"/>
      <c r="Q101" s="126"/>
      <c r="R101" s="126"/>
      <c r="S101" s="126"/>
      <c r="T101" s="85"/>
      <c r="U101" s="85"/>
      <c r="V101" s="85"/>
      <c r="W101" s="85"/>
    </row>
    <row r="102" spans="1:23" s="33" customFormat="1" ht="13.8" x14ac:dyDescent="0.25">
      <c r="A102" s="34"/>
      <c r="B102" s="39"/>
      <c r="C102" s="40">
        <v>1</v>
      </c>
      <c r="D102" s="40">
        <v>8.1999999999999993</v>
      </c>
      <c r="E102" s="40">
        <v>0.25</v>
      </c>
      <c r="F102" s="40">
        <v>0.05</v>
      </c>
      <c r="G102" s="40"/>
      <c r="H102" s="40"/>
      <c r="I102" s="40">
        <f t="shared" si="8"/>
        <v>0.10249999999999999</v>
      </c>
      <c r="J102" s="40">
        <f t="shared" si="6"/>
        <v>0.10249999999999999</v>
      </c>
      <c r="K102" s="40">
        <f t="shared" si="9"/>
        <v>0.10249999999999999</v>
      </c>
      <c r="L102" s="40"/>
      <c r="M102" s="59"/>
      <c r="N102" s="97"/>
      <c r="O102" s="32"/>
      <c r="P102" s="85"/>
      <c r="Q102" s="126"/>
      <c r="R102" s="126"/>
      <c r="S102" s="126"/>
      <c r="T102" s="85"/>
      <c r="U102" s="85"/>
      <c r="V102" s="85"/>
      <c r="W102" s="85"/>
    </row>
    <row r="103" spans="1:23" s="33" customFormat="1" ht="13.8" x14ac:dyDescent="0.25">
      <c r="A103" s="34"/>
      <c r="B103" s="39"/>
      <c r="C103" s="40">
        <v>1</v>
      </c>
      <c r="D103" s="40">
        <v>14.9</v>
      </c>
      <c r="E103" s="40">
        <v>0.25</v>
      </c>
      <c r="F103" s="40">
        <v>0.05</v>
      </c>
      <c r="G103" s="40"/>
      <c r="H103" s="40"/>
      <c r="I103" s="40">
        <f t="shared" si="8"/>
        <v>0.18625000000000003</v>
      </c>
      <c r="J103" s="40">
        <f t="shared" si="6"/>
        <v>0.18625000000000003</v>
      </c>
      <c r="K103" s="40">
        <f t="shared" si="9"/>
        <v>0.18625000000000003</v>
      </c>
      <c r="L103" s="40"/>
      <c r="M103" s="59"/>
      <c r="N103" s="97"/>
      <c r="O103" s="32"/>
      <c r="P103" s="85"/>
      <c r="Q103" s="126"/>
      <c r="R103" s="126"/>
      <c r="S103" s="126"/>
      <c r="T103" s="85"/>
      <c r="U103" s="85"/>
      <c r="V103" s="85"/>
      <c r="W103" s="85"/>
    </row>
    <row r="104" spans="1:23" s="33" customFormat="1" ht="13.8" x14ac:dyDescent="0.25">
      <c r="A104" s="34"/>
      <c r="B104" s="39"/>
      <c r="C104" s="40">
        <v>1</v>
      </c>
      <c r="D104" s="40">
        <v>4.0999999999999996</v>
      </c>
      <c r="E104" s="40">
        <v>0.25</v>
      </c>
      <c r="F104" s="40">
        <v>0.05</v>
      </c>
      <c r="G104" s="40"/>
      <c r="H104" s="40"/>
      <c r="I104" s="40">
        <f t="shared" si="8"/>
        <v>5.1249999999999997E-2</v>
      </c>
      <c r="J104" s="40">
        <f t="shared" si="6"/>
        <v>5.1249999999999997E-2</v>
      </c>
      <c r="K104" s="40">
        <f t="shared" si="9"/>
        <v>5.1249999999999997E-2</v>
      </c>
      <c r="L104" s="40"/>
      <c r="M104" s="59"/>
      <c r="N104" s="97"/>
      <c r="O104" s="32"/>
      <c r="P104" s="85"/>
      <c r="Q104" s="126"/>
      <c r="R104" s="126"/>
      <c r="S104" s="126"/>
      <c r="T104" s="85"/>
      <c r="U104" s="85"/>
      <c r="V104" s="85"/>
      <c r="W104" s="85"/>
    </row>
    <row r="105" spans="1:23" s="33" customFormat="1" ht="13.8" x14ac:dyDescent="0.25">
      <c r="A105" s="34"/>
      <c r="B105" s="39"/>
      <c r="C105" s="40">
        <v>1</v>
      </c>
      <c r="D105" s="40">
        <v>8</v>
      </c>
      <c r="E105" s="40">
        <v>0.25</v>
      </c>
      <c r="F105" s="40">
        <v>0.05</v>
      </c>
      <c r="G105" s="40"/>
      <c r="H105" s="40"/>
      <c r="I105" s="40">
        <f t="shared" si="8"/>
        <v>0.1</v>
      </c>
      <c r="J105" s="40">
        <f t="shared" si="6"/>
        <v>0.1</v>
      </c>
      <c r="K105" s="40">
        <f t="shared" si="9"/>
        <v>0.1</v>
      </c>
      <c r="L105" s="40"/>
      <c r="M105" s="59"/>
      <c r="N105" s="97"/>
      <c r="O105" s="32"/>
      <c r="P105" s="85"/>
      <c r="Q105" s="126"/>
      <c r="R105" s="126"/>
      <c r="S105" s="126"/>
      <c r="T105" s="85"/>
      <c r="U105" s="85"/>
      <c r="V105" s="85"/>
      <c r="W105" s="85"/>
    </row>
    <row r="106" spans="1:23" s="33" customFormat="1" ht="13.8" x14ac:dyDescent="0.25">
      <c r="A106" s="34"/>
      <c r="B106" s="39"/>
      <c r="C106" s="40">
        <v>1</v>
      </c>
      <c r="D106" s="40">
        <v>15.6</v>
      </c>
      <c r="E106" s="40">
        <v>0.25</v>
      </c>
      <c r="F106" s="40">
        <v>0.05</v>
      </c>
      <c r="G106" s="40"/>
      <c r="H106" s="40"/>
      <c r="I106" s="40">
        <f t="shared" si="8"/>
        <v>0.19500000000000001</v>
      </c>
      <c r="J106" s="40">
        <f t="shared" si="6"/>
        <v>0.19500000000000001</v>
      </c>
      <c r="K106" s="40">
        <f t="shared" si="9"/>
        <v>0.19500000000000001</v>
      </c>
      <c r="L106" s="40"/>
      <c r="M106" s="59"/>
      <c r="N106" s="97"/>
      <c r="O106" s="32"/>
      <c r="P106" s="85"/>
      <c r="Q106" s="126"/>
      <c r="R106" s="126"/>
      <c r="S106" s="126"/>
      <c r="T106" s="85"/>
      <c r="U106" s="85"/>
      <c r="V106" s="85"/>
      <c r="W106" s="85"/>
    </row>
    <row r="107" spans="1:23" s="33" customFormat="1" ht="13.8" x14ac:dyDescent="0.25">
      <c r="A107" s="34"/>
      <c r="B107" s="39"/>
      <c r="C107" s="40">
        <v>1</v>
      </c>
      <c r="D107" s="40">
        <v>7</v>
      </c>
      <c r="E107" s="40">
        <v>0.25</v>
      </c>
      <c r="F107" s="40">
        <v>0.05</v>
      </c>
      <c r="G107" s="40"/>
      <c r="H107" s="40"/>
      <c r="I107" s="40">
        <f t="shared" si="8"/>
        <v>8.7500000000000008E-2</v>
      </c>
      <c r="J107" s="40">
        <f t="shared" si="6"/>
        <v>8.7500000000000008E-2</v>
      </c>
      <c r="K107" s="40">
        <f t="shared" si="9"/>
        <v>8.7500000000000008E-2</v>
      </c>
      <c r="L107" s="40"/>
      <c r="M107" s="59"/>
      <c r="N107" s="97"/>
      <c r="O107" s="32"/>
      <c r="P107" s="85"/>
      <c r="Q107" s="126"/>
      <c r="R107" s="126"/>
      <c r="S107" s="126"/>
      <c r="T107" s="85"/>
      <c r="U107" s="85"/>
      <c r="V107" s="85"/>
      <c r="W107" s="85"/>
    </row>
    <row r="108" spans="1:23" s="33" customFormat="1" ht="13.8" x14ac:dyDescent="0.25">
      <c r="A108" s="34"/>
      <c r="B108" s="39"/>
      <c r="C108" s="40">
        <v>1</v>
      </c>
      <c r="D108" s="40">
        <v>9.1</v>
      </c>
      <c r="E108" s="40">
        <v>0.25</v>
      </c>
      <c r="F108" s="40">
        <v>0.05</v>
      </c>
      <c r="G108" s="40"/>
      <c r="H108" s="40"/>
      <c r="I108" s="40">
        <f t="shared" si="8"/>
        <v>0.11375</v>
      </c>
      <c r="J108" s="40">
        <f t="shared" si="6"/>
        <v>0.11375</v>
      </c>
      <c r="K108" s="40">
        <f t="shared" si="9"/>
        <v>0.11375</v>
      </c>
      <c r="L108" s="40"/>
      <c r="M108" s="59"/>
      <c r="N108" s="97"/>
      <c r="O108" s="32"/>
      <c r="P108" s="85"/>
      <c r="Q108" s="126"/>
      <c r="R108" s="126"/>
      <c r="S108" s="126"/>
      <c r="T108" s="85"/>
      <c r="U108" s="85"/>
      <c r="V108" s="85"/>
      <c r="W108" s="85"/>
    </row>
    <row r="109" spans="1:23" s="33" customFormat="1" ht="13.8" x14ac:dyDescent="0.25">
      <c r="A109" s="34"/>
      <c r="B109" s="39"/>
      <c r="C109" s="40">
        <v>1</v>
      </c>
      <c r="D109" s="40">
        <v>5.8</v>
      </c>
      <c r="E109" s="40">
        <v>0.25</v>
      </c>
      <c r="F109" s="40">
        <v>0.05</v>
      </c>
      <c r="G109" s="40"/>
      <c r="H109" s="40"/>
      <c r="I109" s="40">
        <f t="shared" si="8"/>
        <v>7.2499999999999995E-2</v>
      </c>
      <c r="J109" s="40">
        <f t="shared" si="6"/>
        <v>7.2499999999999995E-2</v>
      </c>
      <c r="K109" s="40">
        <f t="shared" si="9"/>
        <v>7.2499999999999995E-2</v>
      </c>
      <c r="L109" s="40"/>
      <c r="M109" s="59"/>
      <c r="N109" s="97"/>
      <c r="O109" s="32"/>
      <c r="P109" s="85"/>
      <c r="Q109" s="126"/>
      <c r="R109" s="126"/>
      <c r="S109" s="126"/>
      <c r="T109" s="85"/>
      <c r="U109" s="85"/>
      <c r="V109" s="85"/>
      <c r="W109" s="85"/>
    </row>
    <row r="110" spans="1:23" s="33" customFormat="1" ht="13.8" x14ac:dyDescent="0.25">
      <c r="A110" s="34"/>
      <c r="B110" s="39"/>
      <c r="C110" s="40">
        <v>1</v>
      </c>
      <c r="D110" s="40">
        <v>14.7</v>
      </c>
      <c r="E110" s="40">
        <v>0.25</v>
      </c>
      <c r="F110" s="40">
        <v>0.05</v>
      </c>
      <c r="G110" s="40"/>
      <c r="H110" s="40"/>
      <c r="I110" s="40">
        <f t="shared" si="8"/>
        <v>0.18375</v>
      </c>
      <c r="J110" s="40">
        <f t="shared" si="6"/>
        <v>0.18375</v>
      </c>
      <c r="K110" s="40">
        <f t="shared" si="9"/>
        <v>0.18375</v>
      </c>
      <c r="L110" s="40"/>
      <c r="M110" s="59"/>
      <c r="N110" s="97"/>
      <c r="O110" s="32"/>
      <c r="P110" s="85"/>
      <c r="Q110" s="126"/>
      <c r="R110" s="126"/>
      <c r="S110" s="126"/>
      <c r="T110" s="85"/>
      <c r="U110" s="85"/>
      <c r="V110" s="85"/>
      <c r="W110" s="85"/>
    </row>
    <row r="111" spans="1:23" s="33" customFormat="1" ht="13.8" x14ac:dyDescent="0.25">
      <c r="A111" s="34"/>
      <c r="B111" s="39"/>
      <c r="C111" s="40">
        <v>1</v>
      </c>
      <c r="D111" s="40">
        <v>2.9</v>
      </c>
      <c r="E111" s="40">
        <v>0.25</v>
      </c>
      <c r="F111" s="40">
        <v>0.05</v>
      </c>
      <c r="G111" s="40"/>
      <c r="H111" s="40"/>
      <c r="I111" s="40">
        <f t="shared" si="8"/>
        <v>3.6249999999999998E-2</v>
      </c>
      <c r="J111" s="40">
        <f t="shared" si="6"/>
        <v>3.6249999999999998E-2</v>
      </c>
      <c r="K111" s="40">
        <f t="shared" si="9"/>
        <v>3.6249999999999998E-2</v>
      </c>
      <c r="L111" s="40"/>
      <c r="M111" s="59"/>
      <c r="N111" s="97"/>
      <c r="O111" s="32"/>
      <c r="P111" s="85"/>
      <c r="Q111" s="126"/>
      <c r="R111" s="126"/>
      <c r="S111" s="126"/>
      <c r="T111" s="85"/>
      <c r="U111" s="85"/>
      <c r="V111" s="85"/>
      <c r="W111" s="85"/>
    </row>
    <row r="112" spans="1:23" s="33" customFormat="1" ht="13.8" x14ac:dyDescent="0.25">
      <c r="A112" s="34"/>
      <c r="B112" s="39"/>
      <c r="C112" s="40">
        <v>1</v>
      </c>
      <c r="D112" s="40">
        <v>14.7</v>
      </c>
      <c r="E112" s="40">
        <v>0.25</v>
      </c>
      <c r="F112" s="40">
        <v>0.05</v>
      </c>
      <c r="G112" s="40"/>
      <c r="H112" s="40"/>
      <c r="I112" s="40">
        <f t="shared" si="8"/>
        <v>0.18375</v>
      </c>
      <c r="J112" s="40">
        <f t="shared" si="6"/>
        <v>0.18375</v>
      </c>
      <c r="K112" s="40">
        <f t="shared" si="9"/>
        <v>0.18375</v>
      </c>
      <c r="L112" s="40"/>
      <c r="M112" s="59"/>
      <c r="N112" s="97"/>
      <c r="O112" s="32"/>
      <c r="P112" s="85"/>
      <c r="Q112" s="126"/>
      <c r="R112" s="126"/>
      <c r="S112" s="126"/>
      <c r="T112" s="85"/>
      <c r="U112" s="85"/>
      <c r="V112" s="85"/>
      <c r="W112" s="85"/>
    </row>
    <row r="113" spans="1:23" s="33" customFormat="1" ht="13.8" x14ac:dyDescent="0.25">
      <c r="A113" s="34"/>
      <c r="B113" s="39"/>
      <c r="C113" s="40">
        <v>1</v>
      </c>
      <c r="D113" s="40">
        <v>7.9</v>
      </c>
      <c r="E113" s="40">
        <v>0.25</v>
      </c>
      <c r="F113" s="40">
        <v>0.05</v>
      </c>
      <c r="G113" s="40"/>
      <c r="H113" s="40"/>
      <c r="I113" s="40">
        <f t="shared" si="8"/>
        <v>9.8750000000000004E-2</v>
      </c>
      <c r="J113" s="40">
        <f t="shared" si="6"/>
        <v>9.8750000000000004E-2</v>
      </c>
      <c r="K113" s="40">
        <f t="shared" si="9"/>
        <v>9.8750000000000004E-2</v>
      </c>
      <c r="L113" s="40"/>
      <c r="M113" s="59"/>
      <c r="N113" s="97"/>
      <c r="O113" s="32"/>
      <c r="P113" s="85"/>
      <c r="Q113" s="126"/>
      <c r="R113" s="126"/>
      <c r="S113" s="126"/>
      <c r="T113" s="85"/>
      <c r="U113" s="85"/>
      <c r="V113" s="85"/>
      <c r="W113" s="85"/>
    </row>
    <row r="114" spans="1:23" s="33" customFormat="1" ht="13.8" x14ac:dyDescent="0.25">
      <c r="A114" s="34"/>
      <c r="B114" s="39"/>
      <c r="C114" s="40">
        <v>1</v>
      </c>
      <c r="D114" s="40">
        <v>1.3</v>
      </c>
      <c r="E114" s="40">
        <v>0.25</v>
      </c>
      <c r="F114" s="40">
        <v>0.05</v>
      </c>
      <c r="G114" s="40"/>
      <c r="H114" s="40"/>
      <c r="I114" s="40">
        <f t="shared" si="8"/>
        <v>1.6250000000000001E-2</v>
      </c>
      <c r="J114" s="40">
        <f t="shared" si="6"/>
        <v>1.6250000000000001E-2</v>
      </c>
      <c r="K114" s="40">
        <f t="shared" si="9"/>
        <v>1.6250000000000001E-2</v>
      </c>
      <c r="L114" s="40"/>
      <c r="M114" s="59"/>
      <c r="N114" s="97"/>
      <c r="O114" s="32"/>
      <c r="P114" s="85"/>
      <c r="Q114" s="126"/>
      <c r="R114" s="126"/>
      <c r="S114" s="126"/>
      <c r="T114" s="85"/>
      <c r="U114" s="85"/>
      <c r="V114" s="85"/>
      <c r="W114" s="85"/>
    </row>
    <row r="115" spans="1:23" s="33" customFormat="1" ht="13.8" x14ac:dyDescent="0.25">
      <c r="A115" s="34"/>
      <c r="B115" s="39"/>
      <c r="C115" s="40">
        <v>1</v>
      </c>
      <c r="D115" s="40">
        <v>6.9</v>
      </c>
      <c r="E115" s="40">
        <v>0.25</v>
      </c>
      <c r="F115" s="40">
        <v>0.05</v>
      </c>
      <c r="G115" s="40"/>
      <c r="H115" s="40"/>
      <c r="I115" s="40">
        <f t="shared" si="8"/>
        <v>8.6250000000000007E-2</v>
      </c>
      <c r="J115" s="40">
        <f t="shared" si="6"/>
        <v>8.6250000000000007E-2</v>
      </c>
      <c r="K115" s="40">
        <f t="shared" si="9"/>
        <v>8.6250000000000007E-2</v>
      </c>
      <c r="L115" s="40"/>
      <c r="M115" s="59"/>
      <c r="N115" s="97"/>
      <c r="O115" s="32"/>
      <c r="P115" s="85"/>
      <c r="Q115" s="126"/>
      <c r="R115" s="126"/>
      <c r="S115" s="126"/>
      <c r="T115" s="85"/>
      <c r="U115" s="85"/>
      <c r="V115" s="85"/>
      <c r="W115" s="85"/>
    </row>
    <row r="116" spans="1:23" s="33" customFormat="1" ht="13.8" x14ac:dyDescent="0.25">
      <c r="A116" s="34"/>
      <c r="B116" s="39"/>
      <c r="C116" s="40">
        <v>1</v>
      </c>
      <c r="D116" s="40">
        <v>14.5</v>
      </c>
      <c r="E116" s="40">
        <v>0.25</v>
      </c>
      <c r="F116" s="40">
        <v>0.05</v>
      </c>
      <c r="G116" s="40"/>
      <c r="H116" s="40"/>
      <c r="I116" s="40">
        <f t="shared" si="8"/>
        <v>0.18125000000000002</v>
      </c>
      <c r="J116" s="40">
        <f t="shared" si="6"/>
        <v>0.18125000000000002</v>
      </c>
      <c r="K116" s="40">
        <f t="shared" si="9"/>
        <v>0.18125000000000002</v>
      </c>
      <c r="L116" s="40"/>
      <c r="M116" s="59"/>
      <c r="N116" s="97"/>
      <c r="O116" s="32"/>
      <c r="P116" s="85"/>
      <c r="Q116" s="126"/>
      <c r="R116" s="126"/>
      <c r="S116" s="126"/>
      <c r="T116" s="85"/>
      <c r="U116" s="85"/>
      <c r="V116" s="85"/>
      <c r="W116" s="85"/>
    </row>
    <row r="117" spans="1:23" s="33" customFormat="1" ht="13.8" x14ac:dyDescent="0.25">
      <c r="A117" s="34"/>
      <c r="B117" s="35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59"/>
      <c r="N117" s="97"/>
      <c r="O117" s="32"/>
      <c r="P117" s="85"/>
      <c r="Q117" s="126"/>
      <c r="R117" s="126"/>
      <c r="S117" s="126"/>
      <c r="T117" s="85"/>
      <c r="U117" s="85"/>
      <c r="V117" s="85"/>
      <c r="W117" s="85"/>
    </row>
    <row r="118" spans="1:23" s="33" customFormat="1" ht="27.6" x14ac:dyDescent="0.25">
      <c r="A118" s="34"/>
      <c r="B118" s="58" t="s">
        <v>44</v>
      </c>
      <c r="C118" s="40"/>
      <c r="D118" s="40"/>
      <c r="E118" s="40"/>
      <c r="F118" s="40"/>
      <c r="G118" s="40"/>
      <c r="H118" s="40"/>
      <c r="I118" s="40"/>
      <c r="J118" s="40"/>
      <c r="K118" s="40"/>
      <c r="L118" s="131">
        <v>1</v>
      </c>
      <c r="M118" s="59">
        <f>+SUM(K119:K123)*L118</f>
        <v>9.4649999999999999</v>
      </c>
      <c r="N118" s="97" t="s">
        <v>11</v>
      </c>
      <c r="O118" s="32"/>
      <c r="P118" s="85"/>
      <c r="Q118" s="126"/>
      <c r="R118" s="126"/>
      <c r="S118" s="126"/>
      <c r="T118" s="85"/>
      <c r="U118" s="85"/>
      <c r="V118" s="85"/>
      <c r="W118" s="85"/>
    </row>
    <row r="119" spans="1:23" s="33" customFormat="1" ht="13.8" x14ac:dyDescent="0.25">
      <c r="A119" s="34"/>
      <c r="B119" s="39" t="s">
        <v>460</v>
      </c>
      <c r="C119" s="40">
        <v>1</v>
      </c>
      <c r="D119" s="40"/>
      <c r="E119" s="40"/>
      <c r="F119" s="40">
        <v>0.15</v>
      </c>
      <c r="G119" s="40"/>
      <c r="H119" s="40">
        <v>20.399999999999999</v>
      </c>
      <c r="I119" s="40">
        <f>+H119*F119</f>
        <v>3.0599999999999996</v>
      </c>
      <c r="J119" s="40">
        <f t="shared" ref="J119:J123" si="10">+I119</f>
        <v>3.0599999999999996</v>
      </c>
      <c r="K119" s="40">
        <f t="shared" ref="K119" si="11">+J119*C119</f>
        <v>3.0599999999999996</v>
      </c>
      <c r="L119" s="40"/>
      <c r="M119" s="59"/>
      <c r="N119" s="97"/>
      <c r="O119" s="32"/>
      <c r="P119" s="85"/>
      <c r="Q119" s="126"/>
      <c r="R119" s="126"/>
      <c r="S119" s="126"/>
      <c r="T119" s="85"/>
      <c r="U119" s="85"/>
      <c r="V119" s="85"/>
      <c r="W119" s="85"/>
    </row>
    <row r="120" spans="1:23" s="33" customFormat="1" ht="13.8" x14ac:dyDescent="0.25">
      <c r="A120" s="34"/>
      <c r="B120" s="39" t="s">
        <v>370</v>
      </c>
      <c r="C120" s="40">
        <v>1</v>
      </c>
      <c r="D120" s="40"/>
      <c r="E120" s="40"/>
      <c r="F120" s="40">
        <v>0.15</v>
      </c>
      <c r="G120" s="40"/>
      <c r="H120" s="40">
        <v>16.5</v>
      </c>
      <c r="I120" s="40">
        <f>+H120*F120</f>
        <v>2.4750000000000001</v>
      </c>
      <c r="J120" s="40">
        <f t="shared" si="10"/>
        <v>2.4750000000000001</v>
      </c>
      <c r="K120" s="40">
        <f t="shared" ref="K120" si="12">+J120*C120</f>
        <v>2.4750000000000001</v>
      </c>
      <c r="L120" s="40"/>
      <c r="M120" s="59"/>
      <c r="N120" s="97"/>
      <c r="O120" s="32"/>
      <c r="P120" s="85"/>
      <c r="Q120" s="126"/>
      <c r="R120" s="126"/>
      <c r="S120" s="126"/>
      <c r="T120" s="85"/>
      <c r="U120" s="85"/>
      <c r="V120" s="85"/>
      <c r="W120" s="85"/>
    </row>
    <row r="121" spans="1:23" s="33" customFormat="1" ht="13.8" x14ac:dyDescent="0.25">
      <c r="A121" s="34"/>
      <c r="B121" s="39" t="s">
        <v>292</v>
      </c>
      <c r="C121" s="40">
        <v>1</v>
      </c>
      <c r="D121" s="40"/>
      <c r="E121" s="40"/>
      <c r="F121" s="40">
        <v>0.15</v>
      </c>
      <c r="G121" s="40"/>
      <c r="H121" s="40">
        <v>4.3</v>
      </c>
      <c r="I121" s="40">
        <f>+H121*F121</f>
        <v>0.64499999999999991</v>
      </c>
      <c r="J121" s="40">
        <f t="shared" si="10"/>
        <v>0.64499999999999991</v>
      </c>
      <c r="K121" s="40">
        <f t="shared" ref="K121" si="13">+J121*C121</f>
        <v>0.64499999999999991</v>
      </c>
      <c r="L121" s="40"/>
      <c r="M121" s="59"/>
      <c r="N121" s="97"/>
      <c r="O121" s="32"/>
      <c r="P121" s="85"/>
      <c r="Q121" s="126"/>
      <c r="R121" s="126"/>
      <c r="S121" s="126"/>
      <c r="T121" s="85"/>
      <c r="U121" s="85"/>
      <c r="V121" s="85"/>
      <c r="W121" s="85"/>
    </row>
    <row r="122" spans="1:23" s="33" customFormat="1" ht="13.8" x14ac:dyDescent="0.25">
      <c r="A122" s="34"/>
      <c r="B122" s="39" t="s">
        <v>266</v>
      </c>
      <c r="C122" s="40">
        <v>1</v>
      </c>
      <c r="D122" s="40"/>
      <c r="E122" s="40"/>
      <c r="F122" s="40">
        <v>0.15</v>
      </c>
      <c r="G122" s="40"/>
      <c r="H122" s="40">
        <v>2.4</v>
      </c>
      <c r="I122" s="40">
        <f>+H122*F122</f>
        <v>0.36</v>
      </c>
      <c r="J122" s="40">
        <f t="shared" si="10"/>
        <v>0.36</v>
      </c>
      <c r="K122" s="40">
        <f t="shared" ref="K122" si="14">+J122*C122</f>
        <v>0.36</v>
      </c>
      <c r="L122" s="40"/>
      <c r="M122" s="59"/>
      <c r="N122" s="97"/>
      <c r="O122" s="32"/>
      <c r="P122" s="85"/>
      <c r="Q122" s="126"/>
      <c r="R122" s="126"/>
      <c r="S122" s="126"/>
      <c r="T122" s="85"/>
      <c r="U122" s="85"/>
      <c r="V122" s="85"/>
      <c r="W122" s="85"/>
    </row>
    <row r="123" spans="1:23" s="33" customFormat="1" ht="13.8" x14ac:dyDescent="0.25">
      <c r="A123" s="34"/>
      <c r="B123" s="39" t="s">
        <v>461</v>
      </c>
      <c r="C123" s="40">
        <v>1</v>
      </c>
      <c r="D123" s="40"/>
      <c r="E123" s="40"/>
      <c r="F123" s="40">
        <v>0.15</v>
      </c>
      <c r="G123" s="40"/>
      <c r="H123" s="40">
        <v>19.5</v>
      </c>
      <c r="I123" s="40">
        <f>+H123*F123</f>
        <v>2.9249999999999998</v>
      </c>
      <c r="J123" s="40">
        <f t="shared" si="10"/>
        <v>2.9249999999999998</v>
      </c>
      <c r="K123" s="40">
        <f t="shared" ref="K123" si="15">+J123*C123</f>
        <v>2.9249999999999998</v>
      </c>
      <c r="L123" s="40"/>
      <c r="M123" s="59"/>
      <c r="N123" s="97"/>
      <c r="O123" s="32"/>
      <c r="P123" s="85"/>
      <c r="Q123" s="126"/>
      <c r="R123" s="126"/>
      <c r="S123" s="126"/>
      <c r="T123" s="85"/>
      <c r="U123" s="85"/>
      <c r="V123" s="85"/>
      <c r="W123" s="85"/>
    </row>
    <row r="124" spans="1:23" s="66" customFormat="1" ht="13.8" x14ac:dyDescent="0.25">
      <c r="A124" s="34"/>
      <c r="B124" s="64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59"/>
      <c r="N124" s="98"/>
      <c r="O124" s="65"/>
      <c r="P124" s="87"/>
      <c r="Q124" s="128"/>
      <c r="R124" s="128"/>
      <c r="S124" s="128"/>
      <c r="T124" s="87"/>
      <c r="U124" s="87"/>
      <c r="V124" s="87"/>
      <c r="W124" s="87"/>
    </row>
    <row r="125" spans="1:23" s="33" customFormat="1" ht="13.8" x14ac:dyDescent="0.25">
      <c r="A125" s="34"/>
      <c r="B125" s="58" t="s">
        <v>241</v>
      </c>
      <c r="C125" s="40"/>
      <c r="D125" s="40"/>
      <c r="E125" s="40"/>
      <c r="F125" s="40"/>
      <c r="G125" s="40"/>
      <c r="H125" s="40"/>
      <c r="I125" s="40"/>
      <c r="J125" s="40"/>
      <c r="K125" s="40"/>
      <c r="L125" s="131">
        <v>1</v>
      </c>
      <c r="M125" s="59">
        <f>+SUM(K126:K130)*L125</f>
        <v>3.1550000000000002</v>
      </c>
      <c r="N125" s="97" t="s">
        <v>11</v>
      </c>
      <c r="O125" s="32"/>
      <c r="P125" s="85"/>
      <c r="Q125" s="126"/>
      <c r="R125" s="126"/>
      <c r="S125" s="126"/>
      <c r="T125" s="85"/>
      <c r="U125" s="85"/>
      <c r="V125" s="85"/>
      <c r="W125" s="85"/>
    </row>
    <row r="126" spans="1:23" s="33" customFormat="1" ht="13.8" x14ac:dyDescent="0.25">
      <c r="A126" s="34"/>
      <c r="B126" s="39" t="s">
        <v>460</v>
      </c>
      <c r="C126" s="40">
        <v>1</v>
      </c>
      <c r="D126" s="40"/>
      <c r="E126" s="40"/>
      <c r="F126" s="40">
        <v>0.05</v>
      </c>
      <c r="G126" s="40"/>
      <c r="H126" s="40">
        <v>20.399999999999999</v>
      </c>
      <c r="I126" s="40">
        <f>+H126*F126</f>
        <v>1.02</v>
      </c>
      <c r="J126" s="40">
        <f t="shared" ref="J126:J130" si="16">+I126</f>
        <v>1.02</v>
      </c>
      <c r="K126" s="40">
        <f t="shared" ref="K126:K130" si="17">+J126*C126</f>
        <v>1.02</v>
      </c>
      <c r="L126" s="40"/>
      <c r="M126" s="59"/>
      <c r="N126" s="97"/>
      <c r="O126" s="32"/>
      <c r="P126" s="85"/>
      <c r="Q126" s="126"/>
      <c r="R126" s="126"/>
      <c r="S126" s="126"/>
      <c r="T126" s="85"/>
      <c r="U126" s="85"/>
      <c r="V126" s="85"/>
      <c r="W126" s="85"/>
    </row>
    <row r="127" spans="1:23" s="33" customFormat="1" ht="13.8" x14ac:dyDescent="0.25">
      <c r="A127" s="34"/>
      <c r="B127" s="39" t="s">
        <v>370</v>
      </c>
      <c r="C127" s="40">
        <v>1</v>
      </c>
      <c r="D127" s="40"/>
      <c r="E127" s="40"/>
      <c r="F127" s="40">
        <v>0.05</v>
      </c>
      <c r="G127" s="40"/>
      <c r="H127" s="40">
        <v>16.5</v>
      </c>
      <c r="I127" s="40">
        <f>+H127*F127</f>
        <v>0.82500000000000007</v>
      </c>
      <c r="J127" s="40">
        <f t="shared" si="16"/>
        <v>0.82500000000000007</v>
      </c>
      <c r="K127" s="40">
        <f t="shared" si="17"/>
        <v>0.82500000000000007</v>
      </c>
      <c r="L127" s="40"/>
      <c r="M127" s="59"/>
      <c r="N127" s="97"/>
      <c r="O127" s="32"/>
      <c r="P127" s="85"/>
      <c r="Q127" s="126"/>
      <c r="R127" s="126"/>
      <c r="S127" s="126"/>
      <c r="T127" s="85"/>
      <c r="U127" s="85"/>
      <c r="V127" s="85"/>
      <c r="W127" s="85"/>
    </row>
    <row r="128" spans="1:23" s="33" customFormat="1" ht="13.8" x14ac:dyDescent="0.25">
      <c r="A128" s="34"/>
      <c r="B128" s="39" t="s">
        <v>292</v>
      </c>
      <c r="C128" s="40">
        <v>1</v>
      </c>
      <c r="D128" s="40"/>
      <c r="E128" s="40"/>
      <c r="F128" s="40">
        <v>0.05</v>
      </c>
      <c r="G128" s="40"/>
      <c r="H128" s="40">
        <v>4.3</v>
      </c>
      <c r="I128" s="40">
        <f>+H128*F128</f>
        <v>0.215</v>
      </c>
      <c r="J128" s="40">
        <f t="shared" si="16"/>
        <v>0.215</v>
      </c>
      <c r="K128" s="40">
        <f t="shared" si="17"/>
        <v>0.215</v>
      </c>
      <c r="L128" s="40"/>
      <c r="M128" s="59"/>
      <c r="N128" s="97"/>
      <c r="O128" s="32"/>
      <c r="P128" s="85"/>
      <c r="Q128" s="126"/>
      <c r="R128" s="126"/>
      <c r="S128" s="126"/>
      <c r="T128" s="85"/>
      <c r="U128" s="85"/>
      <c r="V128" s="85"/>
      <c r="W128" s="85"/>
    </row>
    <row r="129" spans="1:23" s="33" customFormat="1" ht="13.8" x14ac:dyDescent="0.25">
      <c r="A129" s="34"/>
      <c r="B129" s="39" t="s">
        <v>266</v>
      </c>
      <c r="C129" s="40">
        <v>1</v>
      </c>
      <c r="D129" s="40"/>
      <c r="E129" s="40"/>
      <c r="F129" s="40">
        <v>0.05</v>
      </c>
      <c r="G129" s="40"/>
      <c r="H129" s="40">
        <v>2.4</v>
      </c>
      <c r="I129" s="40">
        <f>+H129*F129</f>
        <v>0.12</v>
      </c>
      <c r="J129" s="40">
        <f t="shared" si="16"/>
        <v>0.12</v>
      </c>
      <c r="K129" s="40">
        <f t="shared" si="17"/>
        <v>0.12</v>
      </c>
      <c r="L129" s="40"/>
      <c r="M129" s="59"/>
      <c r="N129" s="97"/>
      <c r="O129" s="32"/>
      <c r="P129" s="85"/>
      <c r="Q129" s="126"/>
      <c r="R129" s="126"/>
      <c r="S129" s="126"/>
      <c r="T129" s="85"/>
      <c r="U129" s="85"/>
      <c r="V129" s="85"/>
      <c r="W129" s="85"/>
    </row>
    <row r="130" spans="1:23" s="33" customFormat="1" ht="13.8" x14ac:dyDescent="0.25">
      <c r="A130" s="34"/>
      <c r="B130" s="39" t="s">
        <v>461</v>
      </c>
      <c r="C130" s="40">
        <v>1</v>
      </c>
      <c r="D130" s="40"/>
      <c r="E130" s="40"/>
      <c r="F130" s="40">
        <v>0.05</v>
      </c>
      <c r="G130" s="40"/>
      <c r="H130" s="40">
        <v>19.5</v>
      </c>
      <c r="I130" s="40">
        <f>+H130*F130</f>
        <v>0.97500000000000009</v>
      </c>
      <c r="J130" s="40">
        <f t="shared" si="16"/>
        <v>0.97500000000000009</v>
      </c>
      <c r="K130" s="40">
        <f t="shared" si="17"/>
        <v>0.97500000000000009</v>
      </c>
      <c r="L130" s="40"/>
      <c r="M130" s="59"/>
      <c r="N130" s="97"/>
      <c r="O130" s="32"/>
      <c r="P130" s="85"/>
      <c r="Q130" s="126"/>
      <c r="R130" s="126"/>
      <c r="S130" s="126"/>
      <c r="T130" s="85"/>
      <c r="U130" s="85"/>
      <c r="V130" s="85"/>
      <c r="W130" s="85"/>
    </row>
    <row r="131" spans="1:23" s="33" customFormat="1" ht="13.8" x14ac:dyDescent="0.25">
      <c r="A131" s="34"/>
      <c r="B131" s="39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59"/>
      <c r="N131" s="97"/>
      <c r="O131" s="32"/>
      <c r="P131" s="85"/>
      <c r="Q131" s="126"/>
      <c r="R131" s="126"/>
      <c r="S131" s="126"/>
      <c r="T131" s="85"/>
      <c r="U131" s="85"/>
      <c r="V131" s="85"/>
      <c r="W131" s="85"/>
    </row>
    <row r="132" spans="1:23" s="33" customFormat="1" ht="13.8" x14ac:dyDescent="0.25">
      <c r="A132" s="34"/>
      <c r="B132" s="58" t="s">
        <v>464</v>
      </c>
      <c r="C132" s="40"/>
      <c r="D132" s="40"/>
      <c r="E132" s="40"/>
      <c r="F132" s="40"/>
      <c r="G132" s="40"/>
      <c r="H132" s="40"/>
      <c r="I132" s="40"/>
      <c r="J132" s="40"/>
      <c r="K132" s="40"/>
      <c r="L132" s="131">
        <v>1</v>
      </c>
      <c r="M132" s="59">
        <f>+SUM(K133:K136)*L132</f>
        <v>58.25</v>
      </c>
      <c r="N132" s="97" t="s">
        <v>7</v>
      </c>
      <c r="O132" s="32"/>
      <c r="P132" s="85"/>
      <c r="Q132" s="126"/>
      <c r="R132" s="126"/>
      <c r="S132" s="126"/>
      <c r="T132" s="85"/>
      <c r="U132" s="85"/>
      <c r="V132" s="85"/>
      <c r="W132" s="85"/>
    </row>
    <row r="133" spans="1:23" s="33" customFormat="1" ht="13.8" x14ac:dyDescent="0.25">
      <c r="A133" s="34"/>
      <c r="B133" s="39" t="s">
        <v>460</v>
      </c>
      <c r="C133" s="40">
        <v>1.25</v>
      </c>
      <c r="D133" s="40"/>
      <c r="E133" s="40"/>
      <c r="F133" s="40"/>
      <c r="G133" s="40"/>
      <c r="H133" s="40">
        <v>20.399999999999999</v>
      </c>
      <c r="I133" s="40"/>
      <c r="J133" s="40">
        <f>+H133</f>
        <v>20.399999999999999</v>
      </c>
      <c r="K133" s="40">
        <f t="shared" ref="K133:K136" si="18">+J133*C133</f>
        <v>25.5</v>
      </c>
      <c r="L133" s="40"/>
      <c r="M133" s="59"/>
      <c r="N133" s="97"/>
      <c r="O133" s="32"/>
      <c r="P133" s="85"/>
      <c r="Q133" s="126"/>
      <c r="R133" s="126"/>
      <c r="S133" s="126"/>
      <c r="T133" s="85"/>
      <c r="U133" s="85"/>
      <c r="V133" s="85"/>
      <c r="W133" s="85"/>
    </row>
    <row r="134" spans="1:23" s="33" customFormat="1" ht="13.8" x14ac:dyDescent="0.25">
      <c r="A134" s="34"/>
      <c r="B134" s="39" t="s">
        <v>292</v>
      </c>
      <c r="C134" s="40">
        <v>1.25</v>
      </c>
      <c r="D134" s="40"/>
      <c r="E134" s="40"/>
      <c r="F134" s="40"/>
      <c r="G134" s="40"/>
      <c r="H134" s="40">
        <v>4.3</v>
      </c>
      <c r="I134" s="40"/>
      <c r="J134" s="40">
        <f t="shared" ref="J134:J136" si="19">+H134</f>
        <v>4.3</v>
      </c>
      <c r="K134" s="40">
        <f t="shared" si="18"/>
        <v>5.375</v>
      </c>
      <c r="L134" s="40"/>
      <c r="M134" s="59"/>
      <c r="N134" s="97"/>
      <c r="O134" s="32"/>
      <c r="P134" s="85"/>
      <c r="Q134" s="126"/>
      <c r="R134" s="126"/>
      <c r="S134" s="126"/>
      <c r="T134" s="85"/>
      <c r="U134" s="85"/>
      <c r="V134" s="85"/>
      <c r="W134" s="85"/>
    </row>
    <row r="135" spans="1:23" s="33" customFormat="1" ht="13.8" x14ac:dyDescent="0.25">
      <c r="A135" s="34"/>
      <c r="B135" s="39" t="s">
        <v>266</v>
      </c>
      <c r="C135" s="40">
        <v>1.25</v>
      </c>
      <c r="D135" s="40"/>
      <c r="E135" s="40"/>
      <c r="F135" s="40"/>
      <c r="G135" s="40"/>
      <c r="H135" s="40">
        <v>2.4</v>
      </c>
      <c r="I135" s="40"/>
      <c r="J135" s="40">
        <f t="shared" si="19"/>
        <v>2.4</v>
      </c>
      <c r="K135" s="40">
        <f t="shared" si="18"/>
        <v>3</v>
      </c>
      <c r="L135" s="40"/>
      <c r="M135" s="59"/>
      <c r="N135" s="97"/>
      <c r="O135" s="32"/>
      <c r="P135" s="85"/>
      <c r="Q135" s="126"/>
      <c r="R135" s="126"/>
      <c r="S135" s="126"/>
      <c r="T135" s="85"/>
      <c r="U135" s="85"/>
      <c r="V135" s="85"/>
      <c r="W135" s="85"/>
    </row>
    <row r="136" spans="1:23" s="33" customFormat="1" ht="13.8" x14ac:dyDescent="0.25">
      <c r="A136" s="34"/>
      <c r="B136" s="39" t="s">
        <v>461</v>
      </c>
      <c r="C136" s="40">
        <v>1.25</v>
      </c>
      <c r="D136" s="40"/>
      <c r="E136" s="40"/>
      <c r="F136" s="40"/>
      <c r="G136" s="40"/>
      <c r="H136" s="40">
        <v>19.5</v>
      </c>
      <c r="I136" s="40"/>
      <c r="J136" s="40">
        <f t="shared" si="19"/>
        <v>19.5</v>
      </c>
      <c r="K136" s="40">
        <f t="shared" si="18"/>
        <v>24.375</v>
      </c>
      <c r="L136" s="40"/>
      <c r="M136" s="59"/>
      <c r="N136" s="97"/>
      <c r="O136" s="32"/>
      <c r="P136" s="85"/>
      <c r="Q136" s="126"/>
      <c r="R136" s="126"/>
      <c r="S136" s="126"/>
      <c r="T136" s="85"/>
      <c r="U136" s="85"/>
      <c r="V136" s="85"/>
      <c r="W136" s="85"/>
    </row>
    <row r="137" spans="1:23" s="33" customFormat="1" ht="13.8" x14ac:dyDescent="0.25">
      <c r="A137" s="34"/>
      <c r="B137" s="39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59"/>
      <c r="N137" s="97"/>
      <c r="O137" s="32"/>
      <c r="P137" s="85"/>
      <c r="Q137" s="126"/>
      <c r="R137" s="126"/>
      <c r="S137" s="126"/>
      <c r="T137" s="85"/>
      <c r="U137" s="85"/>
      <c r="V137" s="85"/>
      <c r="W137" s="85"/>
    </row>
    <row r="138" spans="1:23" s="66" customFormat="1" ht="13.8" x14ac:dyDescent="0.25">
      <c r="A138" s="34"/>
      <c r="B138" s="58" t="s">
        <v>381</v>
      </c>
      <c r="C138" s="40"/>
      <c r="D138" s="40"/>
      <c r="E138" s="40"/>
      <c r="F138" s="40"/>
      <c r="G138" s="40"/>
      <c r="H138" s="40"/>
      <c r="I138" s="40"/>
      <c r="J138" s="40"/>
      <c r="K138" s="40"/>
      <c r="L138" s="131">
        <v>1</v>
      </c>
      <c r="M138" s="59">
        <f>+SUM(K140:K211)*L138</f>
        <v>313.27599999999995</v>
      </c>
      <c r="N138" s="97" t="s">
        <v>7</v>
      </c>
      <c r="O138" s="65"/>
      <c r="P138" s="87"/>
      <c r="Q138" s="128"/>
      <c r="R138" s="128"/>
      <c r="S138" s="128"/>
      <c r="T138" s="87"/>
      <c r="U138" s="87"/>
      <c r="V138" s="87"/>
      <c r="W138" s="87"/>
    </row>
    <row r="139" spans="1:23" s="33" customFormat="1" ht="13.8" x14ac:dyDescent="0.25">
      <c r="A139" s="34"/>
      <c r="B139" s="61" t="s">
        <v>194</v>
      </c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59"/>
      <c r="N139" s="97"/>
      <c r="O139" s="32"/>
      <c r="P139" s="85"/>
      <c r="Q139" s="126"/>
      <c r="R139" s="126"/>
      <c r="S139" s="126"/>
      <c r="T139" s="85"/>
      <c r="U139" s="85"/>
      <c r="V139" s="85"/>
      <c r="W139" s="85"/>
    </row>
    <row r="140" spans="1:23" s="33" customFormat="1" ht="13.8" x14ac:dyDescent="0.25">
      <c r="A140" s="34"/>
      <c r="B140" s="35"/>
      <c r="C140" s="40">
        <v>1</v>
      </c>
      <c r="D140" s="40">
        <v>15.2</v>
      </c>
      <c r="E140" s="40">
        <v>1.1000000000000001</v>
      </c>
      <c r="F140" s="40"/>
      <c r="G140" s="40"/>
      <c r="H140" s="40">
        <f>+E140*D140</f>
        <v>16.72</v>
      </c>
      <c r="I140" s="40"/>
      <c r="J140" s="40">
        <f>+H140</f>
        <v>16.72</v>
      </c>
      <c r="K140" s="40">
        <f>+J140*C140</f>
        <v>16.72</v>
      </c>
      <c r="L140" s="40"/>
      <c r="M140" s="59"/>
      <c r="N140" s="97"/>
      <c r="O140" s="32"/>
      <c r="P140" s="85"/>
      <c r="Q140" s="126"/>
      <c r="R140" s="126"/>
      <c r="S140" s="126"/>
      <c r="T140" s="85"/>
      <c r="U140" s="85"/>
      <c r="V140" s="85"/>
      <c r="W140" s="85"/>
    </row>
    <row r="141" spans="1:23" s="33" customFormat="1" ht="13.8" x14ac:dyDescent="0.25">
      <c r="A141" s="34"/>
      <c r="B141" s="35"/>
      <c r="C141" s="40">
        <v>2</v>
      </c>
      <c r="D141" s="40">
        <v>15.2</v>
      </c>
      <c r="E141" s="40">
        <v>0.3</v>
      </c>
      <c r="F141" s="40"/>
      <c r="G141" s="40"/>
      <c r="H141" s="40">
        <f t="shared" ref="H141:H204" si="20">+E141*D141</f>
        <v>4.5599999999999996</v>
      </c>
      <c r="I141" s="40"/>
      <c r="J141" s="40">
        <f t="shared" ref="J141:J204" si="21">+H141</f>
        <v>4.5599999999999996</v>
      </c>
      <c r="K141" s="40">
        <f t="shared" ref="K141:K204" si="22">+J141*C141</f>
        <v>9.1199999999999992</v>
      </c>
      <c r="L141" s="40"/>
      <c r="M141" s="59"/>
      <c r="N141" s="97"/>
      <c r="O141" s="32"/>
      <c r="P141" s="85"/>
      <c r="Q141" s="126"/>
      <c r="R141" s="126"/>
      <c r="S141" s="126"/>
      <c r="T141" s="85"/>
      <c r="U141" s="85"/>
      <c r="V141" s="85"/>
      <c r="W141" s="85"/>
    </row>
    <row r="142" spans="1:23" s="33" customFormat="1" ht="13.8" x14ac:dyDescent="0.25">
      <c r="A142" s="34"/>
      <c r="B142" s="35"/>
      <c r="C142" s="40">
        <v>1</v>
      </c>
      <c r="D142" s="40">
        <v>9.6</v>
      </c>
      <c r="E142" s="40">
        <v>1.65</v>
      </c>
      <c r="F142" s="40"/>
      <c r="G142" s="40"/>
      <c r="H142" s="40">
        <f t="shared" si="20"/>
        <v>15.839999999999998</v>
      </c>
      <c r="I142" s="40"/>
      <c r="J142" s="40">
        <f t="shared" si="21"/>
        <v>15.839999999999998</v>
      </c>
      <c r="K142" s="40">
        <f t="shared" si="22"/>
        <v>15.839999999999998</v>
      </c>
      <c r="L142" s="40"/>
      <c r="M142" s="59"/>
      <c r="N142" s="97"/>
      <c r="O142" s="32"/>
      <c r="P142" s="85"/>
      <c r="Q142" s="126"/>
      <c r="R142" s="126"/>
      <c r="S142" s="126"/>
      <c r="T142" s="85"/>
      <c r="U142" s="85"/>
      <c r="V142" s="85"/>
      <c r="W142" s="85"/>
    </row>
    <row r="143" spans="1:23" s="33" customFormat="1" ht="13.8" x14ac:dyDescent="0.25">
      <c r="A143" s="34"/>
      <c r="B143" s="35"/>
      <c r="C143" s="40">
        <v>2</v>
      </c>
      <c r="D143" s="40">
        <v>9.6</v>
      </c>
      <c r="E143" s="40">
        <v>0.45</v>
      </c>
      <c r="F143" s="40"/>
      <c r="G143" s="40"/>
      <c r="H143" s="40">
        <f t="shared" si="20"/>
        <v>4.32</v>
      </c>
      <c r="I143" s="40"/>
      <c r="J143" s="40">
        <f t="shared" si="21"/>
        <v>4.32</v>
      </c>
      <c r="K143" s="40">
        <f t="shared" si="22"/>
        <v>8.64</v>
      </c>
      <c r="L143" s="40"/>
      <c r="M143" s="59"/>
      <c r="N143" s="97"/>
      <c r="O143" s="32"/>
      <c r="P143" s="85"/>
      <c r="Q143" s="126"/>
      <c r="R143" s="126"/>
      <c r="S143" s="126"/>
      <c r="T143" s="85"/>
      <c r="U143" s="85"/>
      <c r="V143" s="85"/>
      <c r="W143" s="85"/>
    </row>
    <row r="144" spans="1:23" s="33" customFormat="1" ht="13.8" x14ac:dyDescent="0.25">
      <c r="A144" s="34"/>
      <c r="B144" s="35"/>
      <c r="C144" s="40">
        <v>1</v>
      </c>
      <c r="D144" s="40">
        <v>4.5999999999999996</v>
      </c>
      <c r="E144" s="40">
        <v>1.2</v>
      </c>
      <c r="F144" s="40"/>
      <c r="G144" s="40"/>
      <c r="H144" s="40">
        <f t="shared" si="20"/>
        <v>5.52</v>
      </c>
      <c r="I144" s="40"/>
      <c r="J144" s="40">
        <f t="shared" si="21"/>
        <v>5.52</v>
      </c>
      <c r="K144" s="40">
        <f t="shared" si="22"/>
        <v>5.52</v>
      </c>
      <c r="L144" s="40"/>
      <c r="M144" s="59"/>
      <c r="N144" s="97"/>
      <c r="O144" s="32"/>
      <c r="P144" s="85"/>
      <c r="Q144" s="126"/>
      <c r="R144" s="126"/>
      <c r="S144" s="126"/>
      <c r="T144" s="85"/>
      <c r="U144" s="85"/>
      <c r="V144" s="85"/>
      <c r="W144" s="85"/>
    </row>
    <row r="145" spans="1:23" s="33" customFormat="1" ht="13.8" x14ac:dyDescent="0.25">
      <c r="A145" s="34"/>
      <c r="B145" s="35"/>
      <c r="C145" s="40">
        <v>2</v>
      </c>
      <c r="D145" s="40">
        <v>4.5999999999999996</v>
      </c>
      <c r="E145" s="40">
        <v>0.3</v>
      </c>
      <c r="F145" s="40"/>
      <c r="G145" s="40"/>
      <c r="H145" s="40">
        <f t="shared" si="20"/>
        <v>1.38</v>
      </c>
      <c r="I145" s="40"/>
      <c r="J145" s="40">
        <f t="shared" si="21"/>
        <v>1.38</v>
      </c>
      <c r="K145" s="40">
        <f t="shared" si="22"/>
        <v>2.76</v>
      </c>
      <c r="L145" s="40"/>
      <c r="M145" s="59"/>
      <c r="N145" s="97"/>
      <c r="O145" s="32"/>
      <c r="P145" s="85"/>
      <c r="Q145" s="126"/>
      <c r="R145" s="126"/>
      <c r="S145" s="126"/>
      <c r="T145" s="85"/>
      <c r="U145" s="85"/>
      <c r="V145" s="85"/>
      <c r="W145" s="85"/>
    </row>
    <row r="146" spans="1:23" s="33" customFormat="1" ht="13.8" x14ac:dyDescent="0.25">
      <c r="A146" s="34"/>
      <c r="B146" s="35"/>
      <c r="C146" s="40">
        <v>1</v>
      </c>
      <c r="D146" s="40">
        <v>16.5</v>
      </c>
      <c r="E146" s="40">
        <v>0.9</v>
      </c>
      <c r="F146" s="40"/>
      <c r="G146" s="40"/>
      <c r="H146" s="40">
        <f t="shared" si="20"/>
        <v>14.85</v>
      </c>
      <c r="I146" s="40"/>
      <c r="J146" s="40">
        <f t="shared" si="21"/>
        <v>14.85</v>
      </c>
      <c r="K146" s="40">
        <f t="shared" si="22"/>
        <v>14.85</v>
      </c>
      <c r="L146" s="40"/>
      <c r="M146" s="59"/>
      <c r="N146" s="97"/>
      <c r="O146" s="32"/>
      <c r="P146" s="85"/>
      <c r="Q146" s="126"/>
      <c r="R146" s="126"/>
      <c r="S146" s="126"/>
      <c r="T146" s="85"/>
      <c r="U146" s="85"/>
      <c r="V146" s="85"/>
      <c r="W146" s="85"/>
    </row>
    <row r="147" spans="1:23" s="33" customFormat="1" ht="13.8" x14ac:dyDescent="0.25">
      <c r="A147" s="34"/>
      <c r="B147" s="35"/>
      <c r="C147" s="40">
        <v>2</v>
      </c>
      <c r="D147" s="40">
        <v>16.5</v>
      </c>
      <c r="E147" s="40">
        <v>0.25</v>
      </c>
      <c r="F147" s="40"/>
      <c r="G147" s="40"/>
      <c r="H147" s="40">
        <f t="shared" si="20"/>
        <v>4.125</v>
      </c>
      <c r="I147" s="40"/>
      <c r="J147" s="40">
        <f t="shared" si="21"/>
        <v>4.125</v>
      </c>
      <c r="K147" s="40">
        <f t="shared" si="22"/>
        <v>8.25</v>
      </c>
      <c r="L147" s="40"/>
      <c r="M147" s="59"/>
      <c r="N147" s="97"/>
      <c r="O147" s="32"/>
      <c r="P147" s="85"/>
      <c r="Q147" s="126"/>
      <c r="R147" s="126"/>
      <c r="S147" s="126"/>
      <c r="T147" s="85"/>
      <c r="U147" s="85"/>
      <c r="V147" s="85"/>
      <c r="W147" s="85"/>
    </row>
    <row r="148" spans="1:23" s="33" customFormat="1" ht="13.8" x14ac:dyDescent="0.25">
      <c r="A148" s="34"/>
      <c r="B148" s="35"/>
      <c r="C148" s="40">
        <v>1</v>
      </c>
      <c r="D148" s="40">
        <v>7.8</v>
      </c>
      <c r="E148" s="40">
        <v>0.85</v>
      </c>
      <c r="F148" s="40"/>
      <c r="G148" s="40"/>
      <c r="H148" s="40">
        <f t="shared" si="20"/>
        <v>6.63</v>
      </c>
      <c r="I148" s="40"/>
      <c r="J148" s="40">
        <f t="shared" si="21"/>
        <v>6.63</v>
      </c>
      <c r="K148" s="40">
        <f t="shared" si="22"/>
        <v>6.63</v>
      </c>
      <c r="L148" s="40"/>
      <c r="M148" s="59"/>
      <c r="N148" s="97"/>
      <c r="O148" s="32"/>
      <c r="P148" s="85"/>
      <c r="Q148" s="126"/>
      <c r="R148" s="126"/>
      <c r="S148" s="126"/>
      <c r="T148" s="85"/>
      <c r="U148" s="85"/>
      <c r="V148" s="85"/>
      <c r="W148" s="85"/>
    </row>
    <row r="149" spans="1:23" s="33" customFormat="1" ht="13.8" x14ac:dyDescent="0.25">
      <c r="A149" s="34"/>
      <c r="B149" s="35"/>
      <c r="C149" s="40">
        <v>2</v>
      </c>
      <c r="D149" s="40">
        <v>7.8</v>
      </c>
      <c r="E149" s="40">
        <v>0.25</v>
      </c>
      <c r="F149" s="40"/>
      <c r="G149" s="40"/>
      <c r="H149" s="40">
        <f t="shared" si="20"/>
        <v>1.95</v>
      </c>
      <c r="I149" s="40"/>
      <c r="J149" s="40">
        <f t="shared" si="21"/>
        <v>1.95</v>
      </c>
      <c r="K149" s="40">
        <f t="shared" si="22"/>
        <v>3.9</v>
      </c>
      <c r="L149" s="40"/>
      <c r="M149" s="59"/>
      <c r="N149" s="97"/>
      <c r="O149" s="32"/>
      <c r="P149" s="85"/>
      <c r="Q149" s="126"/>
      <c r="R149" s="126"/>
      <c r="S149" s="126"/>
      <c r="T149" s="85"/>
      <c r="U149" s="85"/>
      <c r="V149" s="85"/>
      <c r="W149" s="85"/>
    </row>
    <row r="150" spans="1:23" s="33" customFormat="1" ht="13.8" x14ac:dyDescent="0.25">
      <c r="A150" s="34"/>
      <c r="B150" s="67"/>
      <c r="C150" s="40">
        <v>1</v>
      </c>
      <c r="D150" s="40">
        <v>7.8</v>
      </c>
      <c r="E150" s="40">
        <v>1.1000000000000001</v>
      </c>
      <c r="F150" s="40"/>
      <c r="G150" s="40"/>
      <c r="H150" s="40">
        <f t="shared" si="20"/>
        <v>8.58</v>
      </c>
      <c r="I150" s="40"/>
      <c r="J150" s="40">
        <f t="shared" si="21"/>
        <v>8.58</v>
      </c>
      <c r="K150" s="40">
        <f t="shared" si="22"/>
        <v>8.58</v>
      </c>
      <c r="L150" s="40"/>
      <c r="M150" s="59"/>
      <c r="N150" s="97"/>
      <c r="O150" s="32"/>
      <c r="P150" s="85"/>
      <c r="Q150" s="126"/>
      <c r="R150" s="126"/>
      <c r="S150" s="126"/>
      <c r="T150" s="85"/>
      <c r="U150" s="85"/>
      <c r="V150" s="85"/>
      <c r="W150" s="85"/>
    </row>
    <row r="151" spans="1:23" s="33" customFormat="1" ht="13.8" x14ac:dyDescent="0.25">
      <c r="A151" s="34"/>
      <c r="B151" s="67"/>
      <c r="C151" s="40">
        <v>2</v>
      </c>
      <c r="D151" s="40">
        <v>7.8</v>
      </c>
      <c r="E151" s="40">
        <v>0.3</v>
      </c>
      <c r="F151" s="40"/>
      <c r="G151" s="40"/>
      <c r="H151" s="40">
        <f t="shared" si="20"/>
        <v>2.34</v>
      </c>
      <c r="I151" s="40"/>
      <c r="J151" s="40">
        <f t="shared" si="21"/>
        <v>2.34</v>
      </c>
      <c r="K151" s="40">
        <f t="shared" si="22"/>
        <v>4.68</v>
      </c>
      <c r="L151" s="40"/>
      <c r="M151" s="59"/>
      <c r="N151" s="97"/>
      <c r="O151" s="32"/>
      <c r="P151" s="85"/>
      <c r="Q151" s="126"/>
      <c r="R151" s="126"/>
      <c r="S151" s="126"/>
      <c r="T151" s="85"/>
      <c r="U151" s="85"/>
      <c r="V151" s="85"/>
      <c r="W151" s="85"/>
    </row>
    <row r="152" spans="1:23" s="33" customFormat="1" ht="13.8" x14ac:dyDescent="0.25">
      <c r="A152" s="34"/>
      <c r="B152" s="67"/>
      <c r="C152" s="40">
        <v>1</v>
      </c>
      <c r="D152" s="40">
        <v>2.2000000000000002</v>
      </c>
      <c r="E152" s="40">
        <v>0.5</v>
      </c>
      <c r="F152" s="40"/>
      <c r="G152" s="40"/>
      <c r="H152" s="40">
        <f t="shared" si="20"/>
        <v>1.1000000000000001</v>
      </c>
      <c r="I152" s="40"/>
      <c r="J152" s="40">
        <f t="shared" si="21"/>
        <v>1.1000000000000001</v>
      </c>
      <c r="K152" s="40">
        <f t="shared" si="22"/>
        <v>1.1000000000000001</v>
      </c>
      <c r="L152" s="40"/>
      <c r="M152" s="59"/>
      <c r="N152" s="97"/>
      <c r="O152" s="32"/>
      <c r="P152" s="85"/>
      <c r="Q152" s="126"/>
      <c r="R152" s="126"/>
      <c r="S152" s="126"/>
      <c r="T152" s="85"/>
      <c r="U152" s="85"/>
      <c r="V152" s="85"/>
      <c r="W152" s="85"/>
    </row>
    <row r="153" spans="1:23" s="33" customFormat="1" ht="13.8" x14ac:dyDescent="0.25">
      <c r="A153" s="34"/>
      <c r="B153" s="67"/>
      <c r="C153" s="40">
        <v>2</v>
      </c>
      <c r="D153" s="40">
        <v>2.2000000000000002</v>
      </c>
      <c r="E153" s="40">
        <v>0.25</v>
      </c>
      <c r="F153" s="40"/>
      <c r="G153" s="40"/>
      <c r="H153" s="40">
        <f t="shared" si="20"/>
        <v>0.55000000000000004</v>
      </c>
      <c r="I153" s="40"/>
      <c r="J153" s="40">
        <f t="shared" si="21"/>
        <v>0.55000000000000004</v>
      </c>
      <c r="K153" s="40">
        <f t="shared" si="22"/>
        <v>1.1000000000000001</v>
      </c>
      <c r="L153" s="40"/>
      <c r="M153" s="59"/>
      <c r="N153" s="97"/>
      <c r="O153" s="32"/>
      <c r="P153" s="85"/>
      <c r="Q153" s="126"/>
      <c r="R153" s="126"/>
      <c r="S153" s="126"/>
      <c r="T153" s="85"/>
      <c r="U153" s="85"/>
      <c r="V153" s="85"/>
      <c r="W153" s="85"/>
    </row>
    <row r="154" spans="1:23" s="33" customFormat="1" ht="13.8" x14ac:dyDescent="0.25">
      <c r="A154" s="34"/>
      <c r="B154" s="61" t="s">
        <v>454</v>
      </c>
      <c r="C154" s="40"/>
      <c r="D154" s="40"/>
      <c r="E154" s="40"/>
      <c r="F154" s="40"/>
      <c r="G154" s="40"/>
      <c r="H154" s="40">
        <f t="shared" si="20"/>
        <v>0</v>
      </c>
      <c r="I154" s="40"/>
      <c r="J154" s="40">
        <f t="shared" si="21"/>
        <v>0</v>
      </c>
      <c r="K154" s="40">
        <f t="shared" si="22"/>
        <v>0</v>
      </c>
      <c r="L154" s="40"/>
      <c r="M154" s="59"/>
      <c r="N154" s="97"/>
      <c r="O154" s="32"/>
      <c r="P154" s="85"/>
      <c r="Q154" s="126"/>
      <c r="R154" s="126"/>
      <c r="S154" s="126"/>
      <c r="T154" s="85"/>
      <c r="U154" s="85"/>
      <c r="V154" s="85"/>
      <c r="W154" s="85"/>
    </row>
    <row r="155" spans="1:23" s="33" customFormat="1" ht="13.8" x14ac:dyDescent="0.25">
      <c r="A155" s="34"/>
      <c r="B155" s="35"/>
      <c r="C155" s="40">
        <v>1</v>
      </c>
      <c r="D155" s="40">
        <v>1.65</v>
      </c>
      <c r="E155" s="40">
        <v>1.65</v>
      </c>
      <c r="F155" s="40"/>
      <c r="G155" s="40"/>
      <c r="H155" s="40">
        <f t="shared" si="20"/>
        <v>2.7224999999999997</v>
      </c>
      <c r="I155" s="40"/>
      <c r="J155" s="40">
        <f t="shared" si="21"/>
        <v>2.7224999999999997</v>
      </c>
      <c r="K155" s="40">
        <f t="shared" si="22"/>
        <v>2.7224999999999997</v>
      </c>
      <c r="L155" s="40"/>
      <c r="M155" s="59"/>
      <c r="N155" s="97"/>
      <c r="O155" s="32"/>
      <c r="P155" s="85"/>
      <c r="Q155" s="126"/>
      <c r="R155" s="126"/>
      <c r="S155" s="126"/>
      <c r="T155" s="85"/>
      <c r="U155" s="85"/>
      <c r="V155" s="85"/>
      <c r="W155" s="85"/>
    </row>
    <row r="156" spans="1:23" s="33" customFormat="1" ht="13.8" x14ac:dyDescent="0.25">
      <c r="A156" s="34"/>
      <c r="B156" s="35"/>
      <c r="C156" s="40">
        <v>2</v>
      </c>
      <c r="D156" s="40">
        <v>1.65</v>
      </c>
      <c r="E156" s="40">
        <v>0.4</v>
      </c>
      <c r="F156" s="40"/>
      <c r="G156" s="40"/>
      <c r="H156" s="40">
        <f t="shared" si="20"/>
        <v>0.66</v>
      </c>
      <c r="I156" s="40"/>
      <c r="J156" s="40">
        <f t="shared" si="21"/>
        <v>0.66</v>
      </c>
      <c r="K156" s="40">
        <f t="shared" si="22"/>
        <v>1.32</v>
      </c>
      <c r="L156" s="40"/>
      <c r="M156" s="59"/>
      <c r="N156" s="97"/>
      <c r="O156" s="32"/>
      <c r="P156" s="85"/>
      <c r="Q156" s="126"/>
      <c r="R156" s="126"/>
      <c r="S156" s="126"/>
      <c r="T156" s="85"/>
      <c r="U156" s="85"/>
      <c r="V156" s="85"/>
      <c r="W156" s="85"/>
    </row>
    <row r="157" spans="1:23" s="33" customFormat="1" ht="13.8" x14ac:dyDescent="0.25">
      <c r="A157" s="34"/>
      <c r="B157" s="35"/>
      <c r="C157" s="40">
        <v>2</v>
      </c>
      <c r="D157" s="40">
        <v>1.65</v>
      </c>
      <c r="E157" s="40">
        <v>0.4</v>
      </c>
      <c r="F157" s="40"/>
      <c r="G157" s="40"/>
      <c r="H157" s="40">
        <f t="shared" si="20"/>
        <v>0.66</v>
      </c>
      <c r="I157" s="40"/>
      <c r="J157" s="40">
        <f t="shared" si="21"/>
        <v>0.66</v>
      </c>
      <c r="K157" s="40">
        <f t="shared" si="22"/>
        <v>1.32</v>
      </c>
      <c r="L157" s="40"/>
      <c r="M157" s="59"/>
      <c r="N157" s="97"/>
      <c r="O157" s="32"/>
      <c r="P157" s="85"/>
      <c r="Q157" s="126"/>
      <c r="R157" s="126"/>
      <c r="S157" s="126"/>
      <c r="T157" s="85"/>
      <c r="U157" s="85"/>
      <c r="V157" s="85"/>
      <c r="W157" s="85"/>
    </row>
    <row r="158" spans="1:23" s="33" customFormat="1" ht="13.8" x14ac:dyDescent="0.25">
      <c r="A158" s="34"/>
      <c r="B158" s="35"/>
      <c r="C158" s="40">
        <v>1</v>
      </c>
      <c r="D158" s="40">
        <v>1.6</v>
      </c>
      <c r="E158" s="40">
        <v>1.8</v>
      </c>
      <c r="F158" s="40"/>
      <c r="G158" s="40"/>
      <c r="H158" s="40">
        <f t="shared" si="20"/>
        <v>2.8800000000000003</v>
      </c>
      <c r="I158" s="40"/>
      <c r="J158" s="40">
        <f t="shared" si="21"/>
        <v>2.8800000000000003</v>
      </c>
      <c r="K158" s="40">
        <f t="shared" si="22"/>
        <v>2.8800000000000003</v>
      </c>
      <c r="L158" s="40"/>
      <c r="M158" s="59"/>
      <c r="N158" s="97"/>
      <c r="O158" s="32"/>
      <c r="P158" s="85"/>
      <c r="Q158" s="126"/>
      <c r="R158" s="126"/>
      <c r="S158" s="126"/>
      <c r="T158" s="85"/>
      <c r="U158" s="85"/>
      <c r="V158" s="85"/>
      <c r="W158" s="85"/>
    </row>
    <row r="159" spans="1:23" s="33" customFormat="1" ht="13.8" x14ac:dyDescent="0.25">
      <c r="A159" s="34"/>
      <c r="B159" s="67"/>
      <c r="C159" s="40">
        <v>2</v>
      </c>
      <c r="D159" s="40">
        <v>1.6</v>
      </c>
      <c r="E159" s="40">
        <v>0.4</v>
      </c>
      <c r="F159" s="40"/>
      <c r="G159" s="40"/>
      <c r="H159" s="40">
        <f t="shared" si="20"/>
        <v>0.64000000000000012</v>
      </c>
      <c r="I159" s="40"/>
      <c r="J159" s="40">
        <f t="shared" si="21"/>
        <v>0.64000000000000012</v>
      </c>
      <c r="K159" s="40">
        <f t="shared" si="22"/>
        <v>1.2800000000000002</v>
      </c>
      <c r="L159" s="40"/>
      <c r="M159" s="59"/>
      <c r="N159" s="97"/>
      <c r="O159" s="32"/>
      <c r="P159" s="85"/>
      <c r="Q159" s="126"/>
      <c r="R159" s="126"/>
      <c r="S159" s="126"/>
      <c r="T159" s="85"/>
      <c r="U159" s="85"/>
      <c r="V159" s="85"/>
      <c r="W159" s="85"/>
    </row>
    <row r="160" spans="1:23" s="33" customFormat="1" ht="13.8" x14ac:dyDescent="0.25">
      <c r="A160" s="34"/>
      <c r="B160" s="67"/>
      <c r="C160" s="40">
        <v>2</v>
      </c>
      <c r="D160" s="40">
        <v>1.8</v>
      </c>
      <c r="E160" s="40">
        <v>0.44</v>
      </c>
      <c r="F160" s="40"/>
      <c r="G160" s="40"/>
      <c r="H160" s="40">
        <f t="shared" si="20"/>
        <v>0.79200000000000004</v>
      </c>
      <c r="I160" s="40"/>
      <c r="J160" s="40">
        <f t="shared" si="21"/>
        <v>0.79200000000000004</v>
      </c>
      <c r="K160" s="40">
        <f t="shared" si="22"/>
        <v>1.5840000000000001</v>
      </c>
      <c r="L160" s="40"/>
      <c r="M160" s="59"/>
      <c r="N160" s="97"/>
      <c r="O160" s="32"/>
      <c r="P160" s="85"/>
      <c r="Q160" s="126"/>
      <c r="R160" s="126"/>
      <c r="S160" s="126"/>
      <c r="T160" s="85"/>
      <c r="U160" s="85"/>
      <c r="V160" s="85"/>
      <c r="W160" s="85"/>
    </row>
    <row r="161" spans="1:23" s="33" customFormat="1" ht="13.8" x14ac:dyDescent="0.25">
      <c r="A161" s="34"/>
      <c r="B161" s="67"/>
      <c r="C161" s="40">
        <v>1</v>
      </c>
      <c r="D161" s="40">
        <v>0.95</v>
      </c>
      <c r="E161" s="40">
        <v>0.95</v>
      </c>
      <c r="F161" s="40"/>
      <c r="G161" s="40"/>
      <c r="H161" s="40">
        <f t="shared" si="20"/>
        <v>0.90249999999999997</v>
      </c>
      <c r="I161" s="40"/>
      <c r="J161" s="40">
        <f t="shared" si="21"/>
        <v>0.90249999999999997</v>
      </c>
      <c r="K161" s="40">
        <f t="shared" si="22"/>
        <v>0.90249999999999997</v>
      </c>
      <c r="L161" s="40"/>
      <c r="M161" s="59"/>
      <c r="N161" s="97"/>
      <c r="O161" s="32"/>
      <c r="P161" s="85"/>
      <c r="Q161" s="126"/>
      <c r="R161" s="126"/>
      <c r="S161" s="126"/>
      <c r="T161" s="85"/>
      <c r="U161" s="85"/>
      <c r="V161" s="85"/>
      <c r="W161" s="85"/>
    </row>
    <row r="162" spans="1:23" s="33" customFormat="1" ht="13.8" x14ac:dyDescent="0.25">
      <c r="A162" s="34"/>
      <c r="B162" s="35"/>
      <c r="C162" s="40">
        <f>2*4</f>
        <v>8</v>
      </c>
      <c r="D162" s="40">
        <v>0.95</v>
      </c>
      <c r="E162" s="40">
        <v>0.25</v>
      </c>
      <c r="F162" s="40"/>
      <c r="G162" s="40"/>
      <c r="H162" s="40">
        <f t="shared" si="20"/>
        <v>0.23749999999999999</v>
      </c>
      <c r="I162" s="40"/>
      <c r="J162" s="40">
        <f t="shared" si="21"/>
        <v>0.23749999999999999</v>
      </c>
      <c r="K162" s="40">
        <f t="shared" si="22"/>
        <v>1.9</v>
      </c>
      <c r="L162" s="40"/>
      <c r="M162" s="59"/>
      <c r="N162" s="97"/>
      <c r="O162" s="32"/>
      <c r="P162" s="85"/>
      <c r="Q162" s="126"/>
      <c r="R162" s="126"/>
      <c r="S162" s="126"/>
      <c r="T162" s="85"/>
      <c r="U162" s="85"/>
      <c r="V162" s="85"/>
      <c r="W162" s="85"/>
    </row>
    <row r="163" spans="1:23" s="33" customFormat="1" ht="13.8" x14ac:dyDescent="0.25">
      <c r="A163" s="34"/>
      <c r="B163" s="35"/>
      <c r="C163" s="40">
        <f>2*4</f>
        <v>8</v>
      </c>
      <c r="D163" s="40">
        <v>0.95</v>
      </c>
      <c r="E163" s="40">
        <v>0.25</v>
      </c>
      <c r="F163" s="40"/>
      <c r="G163" s="40"/>
      <c r="H163" s="40">
        <f t="shared" si="20"/>
        <v>0.23749999999999999</v>
      </c>
      <c r="I163" s="40"/>
      <c r="J163" s="40">
        <f t="shared" si="21"/>
        <v>0.23749999999999999</v>
      </c>
      <c r="K163" s="40">
        <f t="shared" si="22"/>
        <v>1.9</v>
      </c>
      <c r="L163" s="40"/>
      <c r="M163" s="59"/>
      <c r="N163" s="97"/>
      <c r="O163" s="32"/>
      <c r="P163" s="85"/>
      <c r="Q163" s="126"/>
      <c r="R163" s="126"/>
      <c r="S163" s="126"/>
      <c r="T163" s="85"/>
      <c r="U163" s="85"/>
      <c r="V163" s="85"/>
      <c r="W163" s="85"/>
    </row>
    <row r="164" spans="1:23" s="33" customFormat="1" ht="13.8" x14ac:dyDescent="0.25">
      <c r="A164" s="34"/>
      <c r="B164" s="35"/>
      <c r="C164" s="40">
        <v>1</v>
      </c>
      <c r="D164" s="40">
        <v>1.25</v>
      </c>
      <c r="E164" s="40">
        <v>1.25</v>
      </c>
      <c r="F164" s="40"/>
      <c r="G164" s="40"/>
      <c r="H164" s="40">
        <f t="shared" si="20"/>
        <v>1.5625</v>
      </c>
      <c r="I164" s="40"/>
      <c r="J164" s="40">
        <f t="shared" si="21"/>
        <v>1.5625</v>
      </c>
      <c r="K164" s="40">
        <f t="shared" si="22"/>
        <v>1.5625</v>
      </c>
      <c r="L164" s="40"/>
      <c r="M164" s="59"/>
      <c r="N164" s="97"/>
      <c r="O164" s="32"/>
      <c r="P164" s="85"/>
      <c r="Q164" s="126"/>
      <c r="R164" s="126"/>
      <c r="S164" s="126"/>
      <c r="T164" s="85"/>
      <c r="U164" s="85"/>
      <c r="V164" s="85"/>
      <c r="W164" s="85"/>
    </row>
    <row r="165" spans="1:23" s="33" customFormat="1" ht="13.8" x14ac:dyDescent="0.25">
      <c r="A165" s="34"/>
      <c r="B165" s="35"/>
      <c r="C165" s="40">
        <v>2</v>
      </c>
      <c r="D165" s="40">
        <v>1.25</v>
      </c>
      <c r="E165" s="40">
        <v>0.35</v>
      </c>
      <c r="F165" s="40"/>
      <c r="G165" s="40"/>
      <c r="H165" s="40">
        <f t="shared" si="20"/>
        <v>0.4375</v>
      </c>
      <c r="I165" s="40"/>
      <c r="J165" s="40">
        <f t="shared" si="21"/>
        <v>0.4375</v>
      </c>
      <c r="K165" s="40">
        <f t="shared" si="22"/>
        <v>0.875</v>
      </c>
      <c r="L165" s="40"/>
      <c r="M165" s="59"/>
      <c r="N165" s="97"/>
      <c r="O165" s="32"/>
      <c r="P165" s="85"/>
      <c r="Q165" s="126"/>
      <c r="R165" s="126"/>
      <c r="S165" s="126"/>
      <c r="T165" s="85"/>
      <c r="U165" s="85"/>
      <c r="V165" s="85"/>
      <c r="W165" s="85"/>
    </row>
    <row r="166" spans="1:23" s="33" customFormat="1" ht="13.8" x14ac:dyDescent="0.25">
      <c r="A166" s="34"/>
      <c r="B166" s="35"/>
      <c r="C166" s="40">
        <v>2</v>
      </c>
      <c r="D166" s="40">
        <v>1.25</v>
      </c>
      <c r="E166" s="40">
        <v>0.35</v>
      </c>
      <c r="F166" s="40"/>
      <c r="G166" s="40"/>
      <c r="H166" s="40">
        <f t="shared" si="20"/>
        <v>0.4375</v>
      </c>
      <c r="I166" s="40"/>
      <c r="J166" s="40">
        <f t="shared" si="21"/>
        <v>0.4375</v>
      </c>
      <c r="K166" s="40">
        <f t="shared" si="22"/>
        <v>0.875</v>
      </c>
      <c r="L166" s="40"/>
      <c r="M166" s="59"/>
      <c r="N166" s="97"/>
      <c r="O166" s="32"/>
      <c r="P166" s="85"/>
      <c r="Q166" s="126"/>
      <c r="R166" s="126"/>
      <c r="S166" s="126"/>
      <c r="T166" s="85"/>
      <c r="U166" s="85"/>
      <c r="V166" s="85"/>
      <c r="W166" s="85"/>
    </row>
    <row r="167" spans="1:23" s="33" customFormat="1" ht="13.8" x14ac:dyDescent="0.25">
      <c r="A167" s="34"/>
      <c r="B167" s="35"/>
      <c r="C167" s="40">
        <v>1</v>
      </c>
      <c r="D167" s="40">
        <v>1.9</v>
      </c>
      <c r="E167" s="40">
        <v>1.9</v>
      </c>
      <c r="F167" s="40"/>
      <c r="G167" s="40"/>
      <c r="H167" s="40">
        <f t="shared" si="20"/>
        <v>3.61</v>
      </c>
      <c r="I167" s="40"/>
      <c r="J167" s="40">
        <f t="shared" si="21"/>
        <v>3.61</v>
      </c>
      <c r="K167" s="40">
        <f t="shared" si="22"/>
        <v>3.61</v>
      </c>
      <c r="L167" s="40"/>
      <c r="M167" s="59"/>
      <c r="N167" s="97"/>
      <c r="O167" s="32"/>
      <c r="P167" s="85"/>
      <c r="Q167" s="126"/>
      <c r="R167" s="126"/>
      <c r="S167" s="126"/>
      <c r="T167" s="85"/>
      <c r="U167" s="85"/>
      <c r="V167" s="85"/>
      <c r="W167" s="85"/>
    </row>
    <row r="168" spans="1:23" s="33" customFormat="1" ht="13.8" x14ac:dyDescent="0.25">
      <c r="A168" s="34"/>
      <c r="B168" s="35"/>
      <c r="C168" s="40">
        <v>2</v>
      </c>
      <c r="D168" s="40">
        <v>1.9</v>
      </c>
      <c r="E168" s="40">
        <v>0.45</v>
      </c>
      <c r="F168" s="40"/>
      <c r="G168" s="40"/>
      <c r="H168" s="40">
        <f t="shared" si="20"/>
        <v>0.85499999999999998</v>
      </c>
      <c r="I168" s="40"/>
      <c r="J168" s="40">
        <f t="shared" si="21"/>
        <v>0.85499999999999998</v>
      </c>
      <c r="K168" s="40">
        <f t="shared" si="22"/>
        <v>1.71</v>
      </c>
      <c r="L168" s="40"/>
      <c r="M168" s="59"/>
      <c r="N168" s="97"/>
      <c r="O168" s="32"/>
      <c r="P168" s="85"/>
      <c r="Q168" s="126"/>
      <c r="R168" s="126"/>
      <c r="S168" s="126"/>
      <c r="T168" s="85"/>
      <c r="U168" s="85"/>
      <c r="V168" s="85"/>
      <c r="W168" s="85"/>
    </row>
    <row r="169" spans="1:23" s="33" customFormat="1" ht="13.8" x14ac:dyDescent="0.25">
      <c r="A169" s="34"/>
      <c r="B169" s="35"/>
      <c r="C169" s="40">
        <v>2</v>
      </c>
      <c r="D169" s="40">
        <v>1.9</v>
      </c>
      <c r="E169" s="40">
        <v>0.45</v>
      </c>
      <c r="F169" s="40"/>
      <c r="G169" s="40"/>
      <c r="H169" s="40">
        <f t="shared" si="20"/>
        <v>0.85499999999999998</v>
      </c>
      <c r="I169" s="40"/>
      <c r="J169" s="40">
        <f t="shared" si="21"/>
        <v>0.85499999999999998</v>
      </c>
      <c r="K169" s="40">
        <f t="shared" si="22"/>
        <v>1.71</v>
      </c>
      <c r="L169" s="40"/>
      <c r="M169" s="59"/>
      <c r="N169" s="97"/>
      <c r="O169" s="32"/>
      <c r="P169" s="85"/>
      <c r="Q169" s="126"/>
      <c r="R169" s="126"/>
      <c r="S169" s="126"/>
      <c r="T169" s="85"/>
      <c r="U169" s="85"/>
      <c r="V169" s="85"/>
      <c r="W169" s="85"/>
    </row>
    <row r="170" spans="1:23" s="33" customFormat="1" ht="13.8" x14ac:dyDescent="0.25">
      <c r="A170" s="34"/>
      <c r="B170" s="35"/>
      <c r="C170" s="40">
        <v>1</v>
      </c>
      <c r="D170" s="40">
        <v>0.8</v>
      </c>
      <c r="E170" s="40">
        <v>0.8</v>
      </c>
      <c r="F170" s="40"/>
      <c r="G170" s="40"/>
      <c r="H170" s="40">
        <f t="shared" si="20"/>
        <v>0.64000000000000012</v>
      </c>
      <c r="I170" s="40"/>
      <c r="J170" s="40">
        <f t="shared" si="21"/>
        <v>0.64000000000000012</v>
      </c>
      <c r="K170" s="40">
        <f t="shared" si="22"/>
        <v>0.64000000000000012</v>
      </c>
      <c r="L170" s="40"/>
      <c r="M170" s="59"/>
      <c r="N170" s="97"/>
      <c r="O170" s="32"/>
      <c r="P170" s="85"/>
      <c r="Q170" s="126"/>
      <c r="R170" s="126"/>
      <c r="S170" s="126"/>
      <c r="T170" s="85"/>
      <c r="U170" s="85"/>
      <c r="V170" s="85"/>
      <c r="W170" s="85"/>
    </row>
    <row r="171" spans="1:23" s="33" customFormat="1" ht="13.8" x14ac:dyDescent="0.25">
      <c r="A171" s="34"/>
      <c r="B171" s="35"/>
      <c r="C171" s="40">
        <v>2</v>
      </c>
      <c r="D171" s="40">
        <v>0.8</v>
      </c>
      <c r="E171" s="40">
        <v>0.25</v>
      </c>
      <c r="F171" s="40"/>
      <c r="G171" s="40"/>
      <c r="H171" s="40">
        <f t="shared" si="20"/>
        <v>0.2</v>
      </c>
      <c r="I171" s="40"/>
      <c r="J171" s="40">
        <f t="shared" si="21"/>
        <v>0.2</v>
      </c>
      <c r="K171" s="40">
        <f t="shared" si="22"/>
        <v>0.4</v>
      </c>
      <c r="L171" s="40"/>
      <c r="M171" s="59"/>
      <c r="N171" s="97"/>
      <c r="O171" s="32"/>
      <c r="P171" s="85"/>
      <c r="Q171" s="126"/>
      <c r="R171" s="126"/>
      <c r="S171" s="126"/>
      <c r="T171" s="85"/>
      <c r="U171" s="85"/>
      <c r="V171" s="85"/>
      <c r="W171" s="85"/>
    </row>
    <row r="172" spans="1:23" s="33" customFormat="1" ht="13.8" x14ac:dyDescent="0.25">
      <c r="A172" s="34"/>
      <c r="B172" s="35"/>
      <c r="C172" s="40">
        <v>2</v>
      </c>
      <c r="D172" s="40">
        <v>0.8</v>
      </c>
      <c r="E172" s="40">
        <v>0.25</v>
      </c>
      <c r="F172" s="40"/>
      <c r="G172" s="40"/>
      <c r="H172" s="40">
        <f t="shared" si="20"/>
        <v>0.2</v>
      </c>
      <c r="I172" s="40"/>
      <c r="J172" s="40">
        <f t="shared" si="21"/>
        <v>0.2</v>
      </c>
      <c r="K172" s="40">
        <f t="shared" si="22"/>
        <v>0.4</v>
      </c>
      <c r="L172" s="40"/>
      <c r="M172" s="59"/>
      <c r="N172" s="97"/>
      <c r="O172" s="32"/>
      <c r="P172" s="85"/>
      <c r="Q172" s="126"/>
      <c r="R172" s="126"/>
      <c r="S172" s="126"/>
      <c r="T172" s="85"/>
      <c r="U172" s="85"/>
      <c r="V172" s="85"/>
      <c r="W172" s="85"/>
    </row>
    <row r="173" spans="1:23" s="33" customFormat="1" ht="13.8" x14ac:dyDescent="0.25">
      <c r="A173" s="34"/>
      <c r="B173" s="35"/>
      <c r="C173" s="40">
        <v>1</v>
      </c>
      <c r="D173" s="40">
        <v>1.95</v>
      </c>
      <c r="E173" s="40">
        <v>1.95</v>
      </c>
      <c r="F173" s="40"/>
      <c r="G173" s="40"/>
      <c r="H173" s="40">
        <f t="shared" si="20"/>
        <v>3.8024999999999998</v>
      </c>
      <c r="I173" s="40"/>
      <c r="J173" s="40">
        <f t="shared" si="21"/>
        <v>3.8024999999999998</v>
      </c>
      <c r="K173" s="40">
        <f t="shared" si="22"/>
        <v>3.8024999999999998</v>
      </c>
      <c r="L173" s="40"/>
      <c r="M173" s="59"/>
      <c r="N173" s="97"/>
      <c r="O173" s="32"/>
      <c r="P173" s="85"/>
      <c r="Q173" s="126"/>
      <c r="R173" s="126"/>
      <c r="S173" s="126"/>
      <c r="T173" s="85"/>
      <c r="U173" s="85"/>
      <c r="V173" s="85"/>
      <c r="W173" s="85"/>
    </row>
    <row r="174" spans="1:23" s="33" customFormat="1" ht="13.8" x14ac:dyDescent="0.25">
      <c r="A174" s="34"/>
      <c r="B174" s="35"/>
      <c r="C174" s="40">
        <v>2</v>
      </c>
      <c r="D174" s="40">
        <v>1.95</v>
      </c>
      <c r="E174" s="40">
        <v>0.5</v>
      </c>
      <c r="F174" s="40"/>
      <c r="G174" s="40"/>
      <c r="H174" s="40">
        <f t="shared" si="20"/>
        <v>0.97499999999999998</v>
      </c>
      <c r="I174" s="40"/>
      <c r="J174" s="40">
        <f t="shared" si="21"/>
        <v>0.97499999999999998</v>
      </c>
      <c r="K174" s="40">
        <f t="shared" si="22"/>
        <v>1.95</v>
      </c>
      <c r="L174" s="40"/>
      <c r="M174" s="59"/>
      <c r="N174" s="97"/>
      <c r="O174" s="32"/>
      <c r="P174" s="85"/>
      <c r="Q174" s="126"/>
      <c r="R174" s="126"/>
      <c r="S174" s="126"/>
      <c r="T174" s="85"/>
      <c r="U174" s="85"/>
      <c r="V174" s="85"/>
      <c r="W174" s="85"/>
    </row>
    <row r="175" spans="1:23" s="33" customFormat="1" ht="13.8" x14ac:dyDescent="0.25">
      <c r="A175" s="34"/>
      <c r="B175" s="35"/>
      <c r="C175" s="40">
        <v>2</v>
      </c>
      <c r="D175" s="40">
        <v>1.95</v>
      </c>
      <c r="E175" s="40">
        <v>0.5</v>
      </c>
      <c r="F175" s="40"/>
      <c r="G175" s="40"/>
      <c r="H175" s="40">
        <f t="shared" si="20"/>
        <v>0.97499999999999998</v>
      </c>
      <c r="I175" s="40"/>
      <c r="J175" s="40">
        <f t="shared" si="21"/>
        <v>0.97499999999999998</v>
      </c>
      <c r="K175" s="40">
        <f t="shared" si="22"/>
        <v>1.95</v>
      </c>
      <c r="L175" s="40"/>
      <c r="M175" s="59"/>
      <c r="N175" s="97"/>
      <c r="O175" s="32"/>
      <c r="P175" s="85"/>
      <c r="Q175" s="126"/>
      <c r="R175" s="126"/>
      <c r="S175" s="126"/>
      <c r="T175" s="85"/>
      <c r="U175" s="85"/>
      <c r="V175" s="85"/>
      <c r="W175" s="85"/>
    </row>
    <row r="176" spans="1:23" s="33" customFormat="1" ht="13.8" x14ac:dyDescent="0.25">
      <c r="A176" s="34"/>
      <c r="B176" s="35"/>
      <c r="C176" s="40">
        <v>1</v>
      </c>
      <c r="D176" s="40">
        <v>3.4</v>
      </c>
      <c r="E176" s="40">
        <v>2.8</v>
      </c>
      <c r="F176" s="40"/>
      <c r="G176" s="40"/>
      <c r="H176" s="40">
        <f t="shared" si="20"/>
        <v>9.52</v>
      </c>
      <c r="I176" s="40"/>
      <c r="J176" s="40">
        <f t="shared" si="21"/>
        <v>9.52</v>
      </c>
      <c r="K176" s="40">
        <f t="shared" si="22"/>
        <v>9.52</v>
      </c>
      <c r="L176" s="40"/>
      <c r="M176" s="59"/>
      <c r="N176" s="97"/>
      <c r="O176" s="32"/>
      <c r="P176" s="85"/>
      <c r="Q176" s="126"/>
      <c r="R176" s="126"/>
      <c r="S176" s="126"/>
      <c r="T176" s="85"/>
      <c r="U176" s="85"/>
      <c r="V176" s="85"/>
      <c r="W176" s="85"/>
    </row>
    <row r="177" spans="1:23" s="33" customFormat="1" ht="13.8" x14ac:dyDescent="0.25">
      <c r="A177" s="34"/>
      <c r="B177" s="35"/>
      <c r="C177" s="40">
        <v>2</v>
      </c>
      <c r="D177" s="40">
        <v>3.4</v>
      </c>
      <c r="E177" s="40">
        <v>0.5</v>
      </c>
      <c r="F177" s="40"/>
      <c r="G177" s="40"/>
      <c r="H177" s="40">
        <f t="shared" si="20"/>
        <v>1.7</v>
      </c>
      <c r="I177" s="40"/>
      <c r="J177" s="40">
        <f t="shared" si="21"/>
        <v>1.7</v>
      </c>
      <c r="K177" s="40">
        <f t="shared" si="22"/>
        <v>3.4</v>
      </c>
      <c r="L177" s="40"/>
      <c r="M177" s="59"/>
      <c r="N177" s="97"/>
      <c r="O177" s="32"/>
      <c r="P177" s="85"/>
      <c r="Q177" s="126"/>
      <c r="R177" s="126"/>
      <c r="S177" s="126"/>
      <c r="T177" s="85"/>
      <c r="U177" s="85"/>
      <c r="V177" s="85"/>
      <c r="W177" s="85"/>
    </row>
    <row r="178" spans="1:23" s="33" customFormat="1" ht="13.8" x14ac:dyDescent="0.25">
      <c r="A178" s="34"/>
      <c r="B178" s="58"/>
      <c r="C178" s="40">
        <v>2</v>
      </c>
      <c r="D178" s="40">
        <v>3.4</v>
      </c>
      <c r="E178" s="40">
        <v>0.5</v>
      </c>
      <c r="F178" s="40"/>
      <c r="G178" s="40"/>
      <c r="H178" s="40">
        <f t="shared" si="20"/>
        <v>1.7</v>
      </c>
      <c r="I178" s="40"/>
      <c r="J178" s="40">
        <f t="shared" si="21"/>
        <v>1.7</v>
      </c>
      <c r="K178" s="40">
        <f t="shared" si="22"/>
        <v>3.4</v>
      </c>
      <c r="L178" s="40"/>
      <c r="M178" s="59"/>
      <c r="N178" s="97"/>
      <c r="O178" s="32"/>
      <c r="P178" s="85"/>
      <c r="Q178" s="126"/>
      <c r="R178" s="126"/>
      <c r="S178" s="126"/>
      <c r="T178" s="85"/>
      <c r="U178" s="85"/>
      <c r="V178" s="85"/>
      <c r="W178" s="85"/>
    </row>
    <row r="179" spans="1:23" s="33" customFormat="1" ht="13.8" x14ac:dyDescent="0.25">
      <c r="A179" s="34"/>
      <c r="B179" s="61" t="s">
        <v>104</v>
      </c>
      <c r="C179" s="40"/>
      <c r="D179" s="40"/>
      <c r="E179" s="40"/>
      <c r="F179" s="40"/>
      <c r="G179" s="40"/>
      <c r="H179" s="40"/>
      <c r="I179" s="40"/>
      <c r="J179" s="40"/>
      <c r="K179" s="40"/>
      <c r="L179" s="167"/>
      <c r="M179" s="59"/>
      <c r="N179" s="97"/>
      <c r="O179" s="32"/>
      <c r="P179" s="85"/>
      <c r="Q179" s="126"/>
      <c r="R179" s="126"/>
      <c r="S179" s="126"/>
      <c r="T179" s="85"/>
      <c r="U179" s="85"/>
      <c r="V179" s="85"/>
      <c r="W179" s="85"/>
    </row>
    <row r="180" spans="1:23" s="33" customFormat="1" ht="13.8" x14ac:dyDescent="0.25">
      <c r="A180" s="34"/>
      <c r="B180" s="39"/>
      <c r="C180" s="40">
        <v>2</v>
      </c>
      <c r="D180" s="40">
        <v>14.1</v>
      </c>
      <c r="E180" s="40">
        <v>0.3</v>
      </c>
      <c r="F180" s="40"/>
      <c r="G180" s="40"/>
      <c r="H180" s="40">
        <f t="shared" si="20"/>
        <v>4.2299999999999995</v>
      </c>
      <c r="I180" s="40"/>
      <c r="J180" s="40">
        <f t="shared" si="21"/>
        <v>4.2299999999999995</v>
      </c>
      <c r="K180" s="40">
        <f t="shared" si="22"/>
        <v>8.4599999999999991</v>
      </c>
      <c r="L180" s="40"/>
      <c r="M180" s="59"/>
      <c r="N180" s="97"/>
      <c r="O180" s="32"/>
      <c r="P180" s="85"/>
      <c r="Q180" s="126"/>
      <c r="R180" s="126"/>
      <c r="S180" s="126"/>
      <c r="T180" s="85"/>
      <c r="U180" s="85"/>
      <c r="V180" s="85"/>
      <c r="W180" s="85"/>
    </row>
    <row r="181" spans="1:23" s="33" customFormat="1" ht="13.8" x14ac:dyDescent="0.25">
      <c r="A181" s="34"/>
      <c r="B181" s="39"/>
      <c r="C181" s="40">
        <v>2</v>
      </c>
      <c r="D181" s="40">
        <v>7.4</v>
      </c>
      <c r="E181" s="40">
        <v>0.3</v>
      </c>
      <c r="F181" s="40"/>
      <c r="G181" s="40"/>
      <c r="H181" s="40">
        <f t="shared" si="20"/>
        <v>2.2200000000000002</v>
      </c>
      <c r="I181" s="40"/>
      <c r="J181" s="40">
        <f t="shared" si="21"/>
        <v>2.2200000000000002</v>
      </c>
      <c r="K181" s="40">
        <f t="shared" si="22"/>
        <v>4.4400000000000004</v>
      </c>
      <c r="L181" s="40"/>
      <c r="M181" s="59"/>
      <c r="N181" s="97"/>
      <c r="O181" s="32"/>
      <c r="P181" s="85"/>
      <c r="Q181" s="126"/>
      <c r="R181" s="126"/>
      <c r="S181" s="126"/>
      <c r="T181" s="85"/>
      <c r="U181" s="85"/>
      <c r="V181" s="85"/>
      <c r="W181" s="85"/>
    </row>
    <row r="182" spans="1:23" s="33" customFormat="1" ht="13.8" x14ac:dyDescent="0.25">
      <c r="A182" s="34"/>
      <c r="B182" s="39"/>
      <c r="C182" s="40">
        <v>2</v>
      </c>
      <c r="D182" s="40">
        <v>8.1999999999999993</v>
      </c>
      <c r="E182" s="40">
        <v>0.3</v>
      </c>
      <c r="F182" s="40"/>
      <c r="G182" s="40"/>
      <c r="H182" s="40">
        <f t="shared" si="20"/>
        <v>2.4599999999999995</v>
      </c>
      <c r="I182" s="40"/>
      <c r="J182" s="40">
        <f t="shared" si="21"/>
        <v>2.4599999999999995</v>
      </c>
      <c r="K182" s="40">
        <f t="shared" si="22"/>
        <v>4.919999999999999</v>
      </c>
      <c r="L182" s="40"/>
      <c r="M182" s="59"/>
      <c r="N182" s="97"/>
      <c r="O182" s="32"/>
      <c r="P182" s="85"/>
      <c r="Q182" s="126"/>
      <c r="R182" s="126"/>
      <c r="S182" s="126"/>
      <c r="T182" s="85"/>
      <c r="U182" s="85"/>
      <c r="V182" s="85"/>
      <c r="W182" s="85"/>
    </row>
    <row r="183" spans="1:23" s="33" customFormat="1" ht="13.8" x14ac:dyDescent="0.25">
      <c r="A183" s="34"/>
      <c r="B183" s="39"/>
      <c r="C183" s="40">
        <v>2</v>
      </c>
      <c r="D183" s="40">
        <v>14.9</v>
      </c>
      <c r="E183" s="40">
        <v>0.3</v>
      </c>
      <c r="F183" s="40"/>
      <c r="G183" s="40"/>
      <c r="H183" s="40">
        <f t="shared" si="20"/>
        <v>4.47</v>
      </c>
      <c r="I183" s="40"/>
      <c r="J183" s="40">
        <f t="shared" si="21"/>
        <v>4.47</v>
      </c>
      <c r="K183" s="40">
        <f t="shared" si="22"/>
        <v>8.94</v>
      </c>
      <c r="L183" s="40"/>
      <c r="M183" s="59"/>
      <c r="N183" s="97"/>
      <c r="O183" s="32"/>
      <c r="P183" s="85"/>
      <c r="Q183" s="126"/>
      <c r="R183" s="126"/>
      <c r="S183" s="126"/>
      <c r="T183" s="85"/>
      <c r="U183" s="85"/>
      <c r="V183" s="85"/>
      <c r="W183" s="85"/>
    </row>
    <row r="184" spans="1:23" s="33" customFormat="1" ht="13.8" x14ac:dyDescent="0.25">
      <c r="A184" s="34"/>
      <c r="B184" s="39"/>
      <c r="C184" s="40">
        <v>2</v>
      </c>
      <c r="D184" s="40">
        <v>4.0999999999999996</v>
      </c>
      <c r="E184" s="40">
        <v>0.3</v>
      </c>
      <c r="F184" s="40"/>
      <c r="G184" s="40"/>
      <c r="H184" s="40">
        <f t="shared" si="20"/>
        <v>1.2299999999999998</v>
      </c>
      <c r="I184" s="40"/>
      <c r="J184" s="40">
        <f t="shared" si="21"/>
        <v>1.2299999999999998</v>
      </c>
      <c r="K184" s="40">
        <f t="shared" si="22"/>
        <v>2.4599999999999995</v>
      </c>
      <c r="L184" s="40"/>
      <c r="M184" s="59"/>
      <c r="N184" s="97"/>
      <c r="O184" s="32"/>
      <c r="P184" s="85"/>
      <c r="Q184" s="126"/>
      <c r="R184" s="126"/>
      <c r="S184" s="126"/>
      <c r="T184" s="85"/>
      <c r="U184" s="85"/>
      <c r="V184" s="85"/>
      <c r="W184" s="85"/>
    </row>
    <row r="185" spans="1:23" s="33" customFormat="1" ht="13.8" x14ac:dyDescent="0.25">
      <c r="A185" s="34"/>
      <c r="B185" s="39"/>
      <c r="C185" s="40">
        <v>2</v>
      </c>
      <c r="D185" s="40">
        <v>8</v>
      </c>
      <c r="E185" s="40">
        <v>0.3</v>
      </c>
      <c r="F185" s="40"/>
      <c r="G185" s="40"/>
      <c r="H185" s="40">
        <f t="shared" si="20"/>
        <v>2.4</v>
      </c>
      <c r="I185" s="40"/>
      <c r="J185" s="40">
        <f t="shared" si="21"/>
        <v>2.4</v>
      </c>
      <c r="K185" s="40">
        <f t="shared" si="22"/>
        <v>4.8</v>
      </c>
      <c r="L185" s="40"/>
      <c r="M185" s="59"/>
      <c r="N185" s="97"/>
      <c r="O185" s="32"/>
      <c r="P185" s="85"/>
      <c r="Q185" s="126"/>
      <c r="R185" s="126"/>
      <c r="S185" s="126"/>
      <c r="T185" s="85"/>
      <c r="U185" s="85"/>
      <c r="V185" s="85"/>
      <c r="W185" s="85"/>
    </row>
    <row r="186" spans="1:23" s="33" customFormat="1" ht="13.8" x14ac:dyDescent="0.25">
      <c r="A186" s="34"/>
      <c r="B186" s="39"/>
      <c r="C186" s="40">
        <v>2</v>
      </c>
      <c r="D186" s="40">
        <v>15.6</v>
      </c>
      <c r="E186" s="40">
        <v>0.3</v>
      </c>
      <c r="F186" s="40"/>
      <c r="G186" s="40"/>
      <c r="H186" s="40">
        <f t="shared" si="20"/>
        <v>4.68</v>
      </c>
      <c r="I186" s="40"/>
      <c r="J186" s="40">
        <f t="shared" si="21"/>
        <v>4.68</v>
      </c>
      <c r="K186" s="40">
        <f t="shared" si="22"/>
        <v>9.36</v>
      </c>
      <c r="L186" s="40"/>
      <c r="M186" s="59"/>
      <c r="N186" s="97"/>
      <c r="O186" s="32"/>
      <c r="P186" s="85"/>
      <c r="Q186" s="126"/>
      <c r="R186" s="126"/>
      <c r="S186" s="126"/>
      <c r="T186" s="85"/>
      <c r="U186" s="85"/>
      <c r="V186" s="85"/>
      <c r="W186" s="85"/>
    </row>
    <row r="187" spans="1:23" s="33" customFormat="1" ht="13.8" x14ac:dyDescent="0.25">
      <c r="A187" s="34"/>
      <c r="B187" s="39"/>
      <c r="C187" s="40">
        <v>2</v>
      </c>
      <c r="D187" s="40">
        <v>7</v>
      </c>
      <c r="E187" s="40">
        <v>0.3</v>
      </c>
      <c r="F187" s="40"/>
      <c r="G187" s="40"/>
      <c r="H187" s="40">
        <f t="shared" si="20"/>
        <v>2.1</v>
      </c>
      <c r="I187" s="40"/>
      <c r="J187" s="40">
        <f t="shared" si="21"/>
        <v>2.1</v>
      </c>
      <c r="K187" s="40">
        <f t="shared" si="22"/>
        <v>4.2</v>
      </c>
      <c r="L187" s="40"/>
      <c r="M187" s="59"/>
      <c r="N187" s="97"/>
      <c r="O187" s="32"/>
      <c r="P187" s="85"/>
      <c r="Q187" s="126"/>
      <c r="R187" s="126"/>
      <c r="S187" s="126"/>
      <c r="T187" s="85"/>
      <c r="U187" s="85"/>
      <c r="V187" s="85"/>
      <c r="W187" s="85"/>
    </row>
    <row r="188" spans="1:23" s="33" customFormat="1" ht="13.8" x14ac:dyDescent="0.25">
      <c r="A188" s="34"/>
      <c r="B188" s="39"/>
      <c r="C188" s="40">
        <v>2</v>
      </c>
      <c r="D188" s="40">
        <v>9.1</v>
      </c>
      <c r="E188" s="40">
        <v>0.3</v>
      </c>
      <c r="F188" s="40"/>
      <c r="G188" s="40"/>
      <c r="H188" s="40">
        <f t="shared" si="20"/>
        <v>2.73</v>
      </c>
      <c r="I188" s="40"/>
      <c r="J188" s="40">
        <f t="shared" si="21"/>
        <v>2.73</v>
      </c>
      <c r="K188" s="40">
        <f t="shared" si="22"/>
        <v>5.46</v>
      </c>
      <c r="L188" s="40"/>
      <c r="M188" s="59"/>
      <c r="N188" s="97"/>
      <c r="O188" s="32"/>
      <c r="P188" s="85"/>
      <c r="Q188" s="126"/>
      <c r="R188" s="126"/>
      <c r="S188" s="126"/>
      <c r="T188" s="85"/>
      <c r="U188" s="85"/>
      <c r="V188" s="85"/>
      <c r="W188" s="85"/>
    </row>
    <row r="189" spans="1:23" s="33" customFormat="1" ht="13.8" x14ac:dyDescent="0.25">
      <c r="A189" s="34"/>
      <c r="B189" s="39"/>
      <c r="C189" s="40">
        <v>2</v>
      </c>
      <c r="D189" s="40">
        <v>5.8</v>
      </c>
      <c r="E189" s="40">
        <v>0.3</v>
      </c>
      <c r="F189" s="40"/>
      <c r="G189" s="40"/>
      <c r="H189" s="40">
        <f t="shared" si="20"/>
        <v>1.74</v>
      </c>
      <c r="I189" s="40"/>
      <c r="J189" s="40">
        <f t="shared" si="21"/>
        <v>1.74</v>
      </c>
      <c r="K189" s="40">
        <f t="shared" si="22"/>
        <v>3.48</v>
      </c>
      <c r="L189" s="40"/>
      <c r="M189" s="59"/>
      <c r="N189" s="97"/>
      <c r="O189" s="32"/>
      <c r="P189" s="85"/>
      <c r="Q189" s="126"/>
      <c r="R189" s="126"/>
      <c r="S189" s="126"/>
      <c r="T189" s="85"/>
      <c r="U189" s="85"/>
      <c r="V189" s="85"/>
      <c r="W189" s="85"/>
    </row>
    <row r="190" spans="1:23" s="33" customFormat="1" ht="13.8" x14ac:dyDescent="0.25">
      <c r="A190" s="34"/>
      <c r="B190" s="39"/>
      <c r="C190" s="40">
        <v>2</v>
      </c>
      <c r="D190" s="40">
        <v>14.7</v>
      </c>
      <c r="E190" s="40">
        <v>0.3</v>
      </c>
      <c r="F190" s="40"/>
      <c r="G190" s="40"/>
      <c r="H190" s="40">
        <f t="shared" si="20"/>
        <v>4.4099999999999993</v>
      </c>
      <c r="I190" s="40"/>
      <c r="J190" s="40">
        <f t="shared" si="21"/>
        <v>4.4099999999999993</v>
      </c>
      <c r="K190" s="40">
        <f t="shared" si="22"/>
        <v>8.8199999999999985</v>
      </c>
      <c r="L190" s="40"/>
      <c r="M190" s="59"/>
      <c r="N190" s="97"/>
      <c r="O190" s="32"/>
      <c r="P190" s="85"/>
      <c r="Q190" s="126"/>
      <c r="R190" s="126"/>
      <c r="S190" s="126"/>
      <c r="T190" s="85"/>
      <c r="U190" s="85"/>
      <c r="V190" s="85"/>
      <c r="W190" s="85"/>
    </row>
    <row r="191" spans="1:23" s="33" customFormat="1" ht="13.8" x14ac:dyDescent="0.25">
      <c r="A191" s="34"/>
      <c r="B191" s="39"/>
      <c r="C191" s="40">
        <v>2</v>
      </c>
      <c r="D191" s="40">
        <v>2.9</v>
      </c>
      <c r="E191" s="40">
        <v>0.3</v>
      </c>
      <c r="F191" s="40"/>
      <c r="G191" s="40"/>
      <c r="H191" s="40">
        <f t="shared" si="20"/>
        <v>0.87</v>
      </c>
      <c r="I191" s="40"/>
      <c r="J191" s="40">
        <f t="shared" si="21"/>
        <v>0.87</v>
      </c>
      <c r="K191" s="40">
        <f t="shared" si="22"/>
        <v>1.74</v>
      </c>
      <c r="L191" s="40"/>
      <c r="M191" s="59"/>
      <c r="N191" s="97"/>
      <c r="O191" s="32"/>
      <c r="P191" s="85"/>
      <c r="Q191" s="126"/>
      <c r="R191" s="126"/>
      <c r="S191" s="126"/>
      <c r="T191" s="85"/>
      <c r="U191" s="85"/>
      <c r="V191" s="85"/>
      <c r="W191" s="85"/>
    </row>
    <row r="192" spans="1:23" s="33" customFormat="1" ht="13.8" x14ac:dyDescent="0.25">
      <c r="A192" s="34"/>
      <c r="B192" s="39"/>
      <c r="C192" s="40">
        <v>2</v>
      </c>
      <c r="D192" s="40">
        <v>14.7</v>
      </c>
      <c r="E192" s="40">
        <v>0.3</v>
      </c>
      <c r="F192" s="40"/>
      <c r="G192" s="40"/>
      <c r="H192" s="40">
        <f t="shared" si="20"/>
        <v>4.4099999999999993</v>
      </c>
      <c r="I192" s="40"/>
      <c r="J192" s="40">
        <f t="shared" si="21"/>
        <v>4.4099999999999993</v>
      </c>
      <c r="K192" s="40">
        <f t="shared" si="22"/>
        <v>8.8199999999999985</v>
      </c>
      <c r="L192" s="40"/>
      <c r="M192" s="59"/>
      <c r="N192" s="97"/>
      <c r="O192" s="32"/>
      <c r="P192" s="85"/>
      <c r="Q192" s="126"/>
      <c r="R192" s="126"/>
      <c r="S192" s="126"/>
      <c r="T192" s="85"/>
      <c r="U192" s="85"/>
      <c r="V192" s="85"/>
      <c r="W192" s="85"/>
    </row>
    <row r="193" spans="1:23" s="33" customFormat="1" ht="13.8" x14ac:dyDescent="0.25">
      <c r="A193" s="34"/>
      <c r="B193" s="39"/>
      <c r="C193" s="40">
        <v>2</v>
      </c>
      <c r="D193" s="40">
        <v>7.9</v>
      </c>
      <c r="E193" s="40">
        <v>0.3</v>
      </c>
      <c r="F193" s="40"/>
      <c r="G193" s="40"/>
      <c r="H193" s="40">
        <f t="shared" si="20"/>
        <v>2.37</v>
      </c>
      <c r="I193" s="40"/>
      <c r="J193" s="40">
        <f t="shared" si="21"/>
        <v>2.37</v>
      </c>
      <c r="K193" s="40">
        <f t="shared" si="22"/>
        <v>4.74</v>
      </c>
      <c r="L193" s="40"/>
      <c r="M193" s="59"/>
      <c r="N193" s="97"/>
      <c r="O193" s="32"/>
      <c r="P193" s="85"/>
      <c r="Q193" s="126"/>
      <c r="R193" s="126"/>
      <c r="S193" s="126"/>
      <c r="T193" s="85"/>
      <c r="U193" s="85"/>
      <c r="V193" s="85"/>
      <c r="W193" s="85"/>
    </row>
    <row r="194" spans="1:23" s="33" customFormat="1" ht="13.8" x14ac:dyDescent="0.25">
      <c r="A194" s="34"/>
      <c r="B194" s="39"/>
      <c r="C194" s="40">
        <v>2</v>
      </c>
      <c r="D194" s="40">
        <v>1.3</v>
      </c>
      <c r="E194" s="40">
        <v>0.3</v>
      </c>
      <c r="F194" s="40"/>
      <c r="G194" s="40"/>
      <c r="H194" s="40">
        <f t="shared" si="20"/>
        <v>0.39</v>
      </c>
      <c r="I194" s="40"/>
      <c r="J194" s="40">
        <f t="shared" si="21"/>
        <v>0.39</v>
      </c>
      <c r="K194" s="40">
        <f t="shared" si="22"/>
        <v>0.78</v>
      </c>
      <c r="L194" s="40"/>
      <c r="M194" s="59"/>
      <c r="N194" s="97"/>
      <c r="O194" s="32"/>
      <c r="P194" s="85"/>
      <c r="Q194" s="126"/>
      <c r="R194" s="126"/>
      <c r="S194" s="126"/>
      <c r="T194" s="85"/>
      <c r="U194" s="85"/>
      <c r="V194" s="85"/>
      <c r="W194" s="85"/>
    </row>
    <row r="195" spans="1:23" s="33" customFormat="1" ht="13.8" x14ac:dyDescent="0.25">
      <c r="A195" s="34"/>
      <c r="B195" s="39"/>
      <c r="C195" s="40">
        <v>2</v>
      </c>
      <c r="D195" s="40">
        <v>6.9</v>
      </c>
      <c r="E195" s="40">
        <v>0.3</v>
      </c>
      <c r="F195" s="40"/>
      <c r="G195" s="40"/>
      <c r="H195" s="40">
        <f t="shared" si="20"/>
        <v>2.0699999999999998</v>
      </c>
      <c r="I195" s="40"/>
      <c r="J195" s="40">
        <f t="shared" si="21"/>
        <v>2.0699999999999998</v>
      </c>
      <c r="K195" s="40">
        <f t="shared" si="22"/>
        <v>4.1399999999999997</v>
      </c>
      <c r="L195" s="40"/>
      <c r="M195" s="59"/>
      <c r="N195" s="97"/>
      <c r="O195" s="32"/>
      <c r="P195" s="85"/>
      <c r="Q195" s="126"/>
      <c r="R195" s="126"/>
      <c r="S195" s="126"/>
      <c r="T195" s="85"/>
      <c r="U195" s="85"/>
      <c r="V195" s="85"/>
      <c r="W195" s="85"/>
    </row>
    <row r="196" spans="1:23" s="33" customFormat="1" ht="13.8" x14ac:dyDescent="0.25">
      <c r="A196" s="34"/>
      <c r="B196" s="39"/>
      <c r="C196" s="40">
        <v>2</v>
      </c>
      <c r="D196" s="40">
        <v>14.5</v>
      </c>
      <c r="E196" s="40">
        <v>0.3</v>
      </c>
      <c r="F196" s="40"/>
      <c r="G196" s="40"/>
      <c r="H196" s="40">
        <f t="shared" si="20"/>
        <v>4.3499999999999996</v>
      </c>
      <c r="I196" s="40"/>
      <c r="J196" s="40">
        <f t="shared" si="21"/>
        <v>4.3499999999999996</v>
      </c>
      <c r="K196" s="40">
        <f t="shared" si="22"/>
        <v>8.6999999999999993</v>
      </c>
      <c r="L196" s="40"/>
      <c r="M196" s="59"/>
      <c r="N196" s="97"/>
      <c r="O196" s="32"/>
      <c r="P196" s="85"/>
      <c r="Q196" s="126"/>
      <c r="R196" s="126"/>
      <c r="S196" s="126"/>
      <c r="T196" s="85"/>
      <c r="U196" s="85"/>
      <c r="V196" s="85"/>
      <c r="W196" s="85"/>
    </row>
    <row r="197" spans="1:23" s="33" customFormat="1" ht="13.8" x14ac:dyDescent="0.25">
      <c r="A197" s="34"/>
      <c r="B197" s="35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59"/>
      <c r="N197" s="97"/>
      <c r="O197" s="32"/>
      <c r="P197" s="85"/>
      <c r="Q197" s="126"/>
      <c r="R197" s="126"/>
      <c r="S197" s="126"/>
      <c r="T197" s="85"/>
      <c r="U197" s="85"/>
      <c r="V197" s="85"/>
      <c r="W197" s="85"/>
    </row>
    <row r="198" spans="1:23" s="33" customFormat="1" ht="13.8" x14ac:dyDescent="0.25">
      <c r="A198" s="34"/>
      <c r="B198" s="61" t="s">
        <v>196</v>
      </c>
      <c r="C198" s="40"/>
      <c r="D198" s="40"/>
      <c r="E198" s="40"/>
      <c r="F198" s="40"/>
      <c r="G198" s="40"/>
      <c r="H198" s="40"/>
      <c r="I198" s="40"/>
      <c r="J198" s="40"/>
      <c r="K198" s="40"/>
      <c r="L198" s="106"/>
      <c r="M198" s="59"/>
      <c r="N198" s="97"/>
      <c r="O198" s="32"/>
      <c r="P198" s="85"/>
      <c r="Q198" s="126"/>
      <c r="R198" s="126"/>
      <c r="S198" s="126"/>
      <c r="T198" s="85"/>
      <c r="U198" s="85"/>
      <c r="V198" s="85"/>
      <c r="W198" s="85"/>
    </row>
    <row r="199" spans="1:23" s="33" customFormat="1" ht="13.8" x14ac:dyDescent="0.25">
      <c r="A199" s="34"/>
      <c r="B199" s="61"/>
      <c r="C199" s="40">
        <v>3</v>
      </c>
      <c r="D199" s="40">
        <f>0.2*4</f>
        <v>0.8</v>
      </c>
      <c r="E199" s="40">
        <v>1.2</v>
      </c>
      <c r="F199" s="40"/>
      <c r="G199" s="40"/>
      <c r="H199" s="40">
        <f t="shared" si="20"/>
        <v>0.96</v>
      </c>
      <c r="I199" s="40"/>
      <c r="J199" s="40">
        <f t="shared" si="21"/>
        <v>0.96</v>
      </c>
      <c r="K199" s="40">
        <f t="shared" si="22"/>
        <v>2.88</v>
      </c>
      <c r="L199" s="106"/>
      <c r="M199" s="59"/>
      <c r="N199" s="97"/>
      <c r="O199" s="32"/>
      <c r="P199" s="85"/>
      <c r="Q199" s="126"/>
      <c r="R199" s="126"/>
      <c r="S199" s="126"/>
      <c r="T199" s="85"/>
      <c r="U199" s="85"/>
      <c r="V199" s="85"/>
      <c r="W199" s="85"/>
    </row>
    <row r="200" spans="1:23" s="33" customFormat="1" ht="13.8" x14ac:dyDescent="0.25">
      <c r="A200" s="34"/>
      <c r="B200" s="35"/>
      <c r="C200" s="40">
        <v>15</v>
      </c>
      <c r="D200" s="40">
        <f>0.45*2</f>
        <v>0.9</v>
      </c>
      <c r="E200" s="40">
        <v>1.2</v>
      </c>
      <c r="F200" s="40"/>
      <c r="G200" s="40"/>
      <c r="H200" s="40">
        <f t="shared" si="20"/>
        <v>1.08</v>
      </c>
      <c r="I200" s="40"/>
      <c r="J200" s="40">
        <f t="shared" si="21"/>
        <v>1.08</v>
      </c>
      <c r="K200" s="40">
        <f t="shared" si="22"/>
        <v>16.200000000000003</v>
      </c>
      <c r="L200" s="40"/>
      <c r="M200" s="59"/>
      <c r="N200" s="97"/>
      <c r="O200" s="32"/>
      <c r="P200" s="85"/>
      <c r="Q200" s="126"/>
      <c r="R200" s="126"/>
      <c r="S200" s="126"/>
      <c r="T200" s="85"/>
      <c r="U200" s="85"/>
      <c r="V200" s="85"/>
      <c r="W200" s="85"/>
    </row>
    <row r="201" spans="1:23" s="33" customFormat="1" ht="13.8" x14ac:dyDescent="0.25">
      <c r="A201" s="34"/>
      <c r="B201" s="35"/>
      <c r="C201" s="40">
        <v>2</v>
      </c>
      <c r="D201" s="40">
        <f>0.5*2</f>
        <v>1</v>
      </c>
      <c r="E201" s="40">
        <v>1.2</v>
      </c>
      <c r="F201" s="40"/>
      <c r="G201" s="40"/>
      <c r="H201" s="40">
        <f t="shared" si="20"/>
        <v>1.2</v>
      </c>
      <c r="I201" s="40"/>
      <c r="J201" s="40">
        <f t="shared" si="21"/>
        <v>1.2</v>
      </c>
      <c r="K201" s="40">
        <f t="shared" si="22"/>
        <v>2.4</v>
      </c>
      <c r="L201" s="40"/>
      <c r="M201" s="59"/>
      <c r="N201" s="97"/>
      <c r="O201" s="32"/>
      <c r="P201" s="85"/>
      <c r="Q201" s="126"/>
      <c r="R201" s="126"/>
      <c r="S201" s="126"/>
      <c r="T201" s="85"/>
      <c r="U201" s="85"/>
      <c r="V201" s="85"/>
      <c r="W201" s="85"/>
    </row>
    <row r="202" spans="1:23" s="33" customFormat="1" ht="13.8" x14ac:dyDescent="0.25">
      <c r="A202" s="34"/>
      <c r="B202" s="35"/>
      <c r="C202" s="40">
        <v>2</v>
      </c>
      <c r="D202" s="40">
        <f>0.55*2</f>
        <v>1.1000000000000001</v>
      </c>
      <c r="E202" s="40">
        <v>1.2</v>
      </c>
      <c r="F202" s="40"/>
      <c r="G202" s="40"/>
      <c r="H202" s="40">
        <f t="shared" si="20"/>
        <v>1.32</v>
      </c>
      <c r="I202" s="40"/>
      <c r="J202" s="40">
        <f t="shared" si="21"/>
        <v>1.32</v>
      </c>
      <c r="K202" s="40">
        <f t="shared" si="22"/>
        <v>2.64</v>
      </c>
      <c r="L202" s="40"/>
      <c r="M202" s="59"/>
      <c r="N202" s="97"/>
      <c r="O202" s="32"/>
      <c r="P202" s="85"/>
      <c r="Q202" s="126"/>
      <c r="R202" s="126"/>
      <c r="S202" s="126"/>
      <c r="T202" s="85"/>
      <c r="U202" s="85"/>
      <c r="V202" s="85"/>
      <c r="W202" s="85"/>
    </row>
    <row r="203" spans="1:23" s="33" customFormat="1" ht="13.8" x14ac:dyDescent="0.25">
      <c r="A203" s="34"/>
      <c r="B203" s="35"/>
      <c r="C203" s="40">
        <v>2</v>
      </c>
      <c r="D203" s="40">
        <f>0.6*2</f>
        <v>1.2</v>
      </c>
      <c r="E203" s="40">
        <v>1.2</v>
      </c>
      <c r="F203" s="40"/>
      <c r="G203" s="40"/>
      <c r="H203" s="40">
        <f t="shared" si="20"/>
        <v>1.44</v>
      </c>
      <c r="I203" s="40"/>
      <c r="J203" s="40">
        <f t="shared" si="21"/>
        <v>1.44</v>
      </c>
      <c r="K203" s="40">
        <f t="shared" si="22"/>
        <v>2.88</v>
      </c>
      <c r="L203" s="40"/>
      <c r="M203" s="59"/>
      <c r="N203" s="97"/>
      <c r="O203" s="32"/>
      <c r="P203" s="85"/>
      <c r="Q203" s="126"/>
      <c r="R203" s="126"/>
      <c r="S203" s="126"/>
      <c r="T203" s="85"/>
      <c r="U203" s="85"/>
      <c r="V203" s="85"/>
      <c r="W203" s="85"/>
    </row>
    <row r="204" spans="1:23" s="33" customFormat="1" ht="13.8" x14ac:dyDescent="0.25">
      <c r="A204" s="34"/>
      <c r="B204" s="35"/>
      <c r="C204" s="40">
        <v>1</v>
      </c>
      <c r="D204" s="40">
        <f>0.65*2</f>
        <v>1.3</v>
      </c>
      <c r="E204" s="40">
        <v>1.2</v>
      </c>
      <c r="F204" s="40"/>
      <c r="G204" s="40"/>
      <c r="H204" s="40">
        <f t="shared" si="20"/>
        <v>1.56</v>
      </c>
      <c r="I204" s="40"/>
      <c r="J204" s="40">
        <f t="shared" si="21"/>
        <v>1.56</v>
      </c>
      <c r="K204" s="40">
        <f t="shared" si="22"/>
        <v>1.56</v>
      </c>
      <c r="L204" s="40"/>
      <c r="M204" s="59"/>
      <c r="N204" s="97"/>
      <c r="O204" s="32"/>
      <c r="P204" s="85"/>
      <c r="Q204" s="126"/>
      <c r="R204" s="126"/>
      <c r="S204" s="126"/>
      <c r="T204" s="85"/>
      <c r="U204" s="85"/>
      <c r="V204" s="85"/>
      <c r="W204" s="85"/>
    </row>
    <row r="205" spans="1:23" s="33" customFormat="1" ht="13.8" x14ac:dyDescent="0.25">
      <c r="A205" s="34"/>
      <c r="B205" s="35"/>
      <c r="C205" s="40">
        <v>2</v>
      </c>
      <c r="D205" s="40">
        <f>0.6*2</f>
        <v>1.2</v>
      </c>
      <c r="E205" s="40">
        <v>1.2</v>
      </c>
      <c r="F205" s="40"/>
      <c r="G205" s="40"/>
      <c r="H205" s="40">
        <f t="shared" ref="H205:H211" si="23">+E205*D205</f>
        <v>1.44</v>
      </c>
      <c r="I205" s="40"/>
      <c r="J205" s="40">
        <f t="shared" ref="J205:J211" si="24">+H205</f>
        <v>1.44</v>
      </c>
      <c r="K205" s="40">
        <f t="shared" ref="K205:K211" si="25">+J205*C205</f>
        <v>2.88</v>
      </c>
      <c r="L205" s="40"/>
      <c r="M205" s="59"/>
      <c r="N205" s="97"/>
      <c r="O205" s="32"/>
      <c r="P205" s="85"/>
      <c r="Q205" s="126"/>
      <c r="R205" s="126"/>
      <c r="S205" s="126"/>
      <c r="T205" s="85"/>
      <c r="U205" s="85"/>
      <c r="V205" s="85"/>
      <c r="W205" s="85"/>
    </row>
    <row r="206" spans="1:23" s="33" customFormat="1" ht="13.8" x14ac:dyDescent="0.25">
      <c r="A206" s="34"/>
      <c r="B206" s="35"/>
      <c r="C206" s="40">
        <v>2</v>
      </c>
      <c r="D206" s="40">
        <f>0.65*2</f>
        <v>1.3</v>
      </c>
      <c r="E206" s="40">
        <v>1.2</v>
      </c>
      <c r="F206" s="40"/>
      <c r="G206" s="40"/>
      <c r="H206" s="40">
        <f t="shared" si="23"/>
        <v>1.56</v>
      </c>
      <c r="I206" s="40"/>
      <c r="J206" s="40">
        <f t="shared" si="24"/>
        <v>1.56</v>
      </c>
      <c r="K206" s="40">
        <f t="shared" si="25"/>
        <v>3.12</v>
      </c>
      <c r="L206" s="40"/>
      <c r="M206" s="59"/>
      <c r="N206" s="97"/>
      <c r="O206" s="32"/>
      <c r="P206" s="85"/>
      <c r="Q206" s="126"/>
      <c r="R206" s="126"/>
      <c r="S206" s="126"/>
      <c r="T206" s="85"/>
      <c r="U206" s="85"/>
      <c r="V206" s="85"/>
      <c r="W206" s="85"/>
    </row>
    <row r="207" spans="1:23" s="33" customFormat="1" ht="13.8" x14ac:dyDescent="0.25">
      <c r="A207" s="34"/>
      <c r="B207" s="35"/>
      <c r="C207" s="40">
        <v>2</v>
      </c>
      <c r="D207" s="40">
        <f>0.75*2</f>
        <v>1.5</v>
      </c>
      <c r="E207" s="40">
        <v>1.2</v>
      </c>
      <c r="F207" s="40"/>
      <c r="G207" s="40"/>
      <c r="H207" s="40">
        <f t="shared" si="23"/>
        <v>1.7999999999999998</v>
      </c>
      <c r="I207" s="40"/>
      <c r="J207" s="40">
        <f t="shared" si="24"/>
        <v>1.7999999999999998</v>
      </c>
      <c r="K207" s="40">
        <f t="shared" si="25"/>
        <v>3.5999999999999996</v>
      </c>
      <c r="L207" s="40"/>
      <c r="M207" s="59"/>
      <c r="N207" s="97"/>
      <c r="O207" s="32"/>
      <c r="P207" s="85"/>
      <c r="Q207" s="126"/>
      <c r="R207" s="126"/>
      <c r="S207" s="126"/>
      <c r="T207" s="85"/>
      <c r="U207" s="85"/>
      <c r="V207" s="85"/>
      <c r="W207" s="85"/>
    </row>
    <row r="208" spans="1:23" s="33" customFormat="1" ht="13.8" x14ac:dyDescent="0.25">
      <c r="A208" s="34"/>
      <c r="B208" s="35"/>
      <c r="C208" s="40">
        <v>1</v>
      </c>
      <c r="D208" s="40">
        <f>0.78*2</f>
        <v>1.56</v>
      </c>
      <c r="E208" s="40">
        <v>1.2</v>
      </c>
      <c r="F208" s="40"/>
      <c r="G208" s="40"/>
      <c r="H208" s="40">
        <f t="shared" si="23"/>
        <v>1.8719999999999999</v>
      </c>
      <c r="I208" s="40"/>
      <c r="J208" s="40">
        <f t="shared" si="24"/>
        <v>1.8719999999999999</v>
      </c>
      <c r="K208" s="40">
        <f t="shared" si="25"/>
        <v>1.8719999999999999</v>
      </c>
      <c r="L208" s="40"/>
      <c r="M208" s="59"/>
      <c r="N208" s="97"/>
      <c r="O208" s="32"/>
      <c r="P208" s="85"/>
      <c r="Q208" s="126"/>
      <c r="R208" s="126"/>
      <c r="S208" s="126"/>
      <c r="T208" s="85"/>
      <c r="U208" s="85"/>
      <c r="V208" s="85"/>
      <c r="W208" s="85"/>
    </row>
    <row r="209" spans="1:23" s="33" customFormat="1" ht="13.8" x14ac:dyDescent="0.25">
      <c r="A209" s="34"/>
      <c r="B209" s="35"/>
      <c r="C209" s="40">
        <v>2</v>
      </c>
      <c r="D209" s="40">
        <f>0.8*2</f>
        <v>1.6</v>
      </c>
      <c r="E209" s="40">
        <v>1.2</v>
      </c>
      <c r="F209" s="40"/>
      <c r="G209" s="40"/>
      <c r="H209" s="40">
        <f t="shared" si="23"/>
        <v>1.92</v>
      </c>
      <c r="I209" s="40"/>
      <c r="J209" s="40">
        <f t="shared" si="24"/>
        <v>1.92</v>
      </c>
      <c r="K209" s="40">
        <f t="shared" si="25"/>
        <v>3.84</v>
      </c>
      <c r="L209" s="40"/>
      <c r="M209" s="59"/>
      <c r="N209" s="97"/>
      <c r="O209" s="32"/>
      <c r="P209" s="85"/>
      <c r="Q209" s="126"/>
      <c r="R209" s="126"/>
      <c r="S209" s="126"/>
      <c r="T209" s="85"/>
      <c r="U209" s="85"/>
      <c r="V209" s="85"/>
      <c r="W209" s="85"/>
    </row>
    <row r="210" spans="1:23" s="33" customFormat="1" ht="13.8" x14ac:dyDescent="0.25">
      <c r="A210" s="34"/>
      <c r="B210" s="35"/>
      <c r="C210" s="40">
        <v>2</v>
      </c>
      <c r="D210" s="40">
        <f>0.8*2</f>
        <v>1.6</v>
      </c>
      <c r="E210" s="40">
        <v>1.2</v>
      </c>
      <c r="F210" s="40"/>
      <c r="G210" s="40"/>
      <c r="H210" s="40">
        <f t="shared" si="23"/>
        <v>1.92</v>
      </c>
      <c r="I210" s="40"/>
      <c r="J210" s="40">
        <f t="shared" si="24"/>
        <v>1.92</v>
      </c>
      <c r="K210" s="40">
        <f t="shared" si="25"/>
        <v>3.84</v>
      </c>
      <c r="L210" s="40"/>
      <c r="M210" s="59"/>
      <c r="N210" s="97"/>
      <c r="O210" s="32"/>
      <c r="P210" s="85"/>
      <c r="Q210" s="126"/>
      <c r="R210" s="126"/>
      <c r="S210" s="126"/>
      <c r="T210" s="85"/>
      <c r="U210" s="85"/>
      <c r="V210" s="85"/>
      <c r="W210" s="85"/>
    </row>
    <row r="211" spans="1:23" s="33" customFormat="1" ht="13.8" x14ac:dyDescent="0.25">
      <c r="A211" s="34"/>
      <c r="B211" s="35"/>
      <c r="C211" s="40">
        <v>5</v>
      </c>
      <c r="D211" s="40">
        <f>1*2</f>
        <v>2</v>
      </c>
      <c r="E211" s="40">
        <v>1.2</v>
      </c>
      <c r="F211" s="40"/>
      <c r="G211" s="40"/>
      <c r="H211" s="40">
        <f t="shared" si="23"/>
        <v>2.4</v>
      </c>
      <c r="I211" s="40"/>
      <c r="J211" s="40">
        <f t="shared" si="24"/>
        <v>2.4</v>
      </c>
      <c r="K211" s="40">
        <f t="shared" si="25"/>
        <v>12</v>
      </c>
      <c r="L211" s="40"/>
      <c r="M211" s="59"/>
      <c r="N211" s="97"/>
      <c r="O211" s="32"/>
      <c r="P211" s="85"/>
      <c r="Q211" s="126"/>
      <c r="R211" s="126"/>
      <c r="S211" s="126"/>
      <c r="T211" s="85"/>
      <c r="U211" s="85"/>
      <c r="V211" s="85"/>
      <c r="W211" s="85"/>
    </row>
    <row r="212" spans="1:23" s="33" customFormat="1" ht="13.8" x14ac:dyDescent="0.25">
      <c r="A212" s="34"/>
      <c r="B212" s="39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59"/>
      <c r="N212" s="97"/>
      <c r="O212" s="32"/>
      <c r="P212" s="85"/>
      <c r="Q212" s="126"/>
      <c r="R212" s="126"/>
      <c r="S212" s="126"/>
      <c r="T212" s="85"/>
      <c r="U212" s="85"/>
      <c r="V212" s="85"/>
      <c r="W212" s="85"/>
    </row>
    <row r="213" spans="1:23" s="33" customFormat="1" ht="13.8" x14ac:dyDescent="0.25">
      <c r="A213" s="34"/>
      <c r="B213" s="58" t="s">
        <v>419</v>
      </c>
      <c r="C213" s="40"/>
      <c r="D213" s="40"/>
      <c r="E213" s="40"/>
      <c r="F213" s="40"/>
      <c r="G213" s="40"/>
      <c r="H213" s="40"/>
      <c r="I213" s="40"/>
      <c r="J213" s="40"/>
      <c r="K213" s="40"/>
      <c r="L213" s="131">
        <v>1</v>
      </c>
      <c r="M213" s="59">
        <f>+SUM(K215:K231)*L213</f>
        <v>62.84</v>
      </c>
      <c r="N213" s="59" t="s">
        <v>7</v>
      </c>
      <c r="O213" s="32"/>
      <c r="P213" s="85"/>
      <c r="Q213" s="126"/>
      <c r="R213" s="126"/>
      <c r="S213" s="126"/>
      <c r="T213" s="85"/>
      <c r="U213" s="85"/>
      <c r="V213" s="85"/>
      <c r="W213" s="85"/>
    </row>
    <row r="214" spans="1:23" s="33" customFormat="1" ht="13.8" x14ac:dyDescent="0.25">
      <c r="A214" s="34"/>
      <c r="B214" s="61" t="s">
        <v>104</v>
      </c>
      <c r="C214" s="40"/>
      <c r="D214" s="40"/>
      <c r="E214" s="40"/>
      <c r="F214" s="40"/>
      <c r="G214" s="40"/>
      <c r="H214" s="40"/>
      <c r="I214" s="40"/>
      <c r="J214" s="40"/>
      <c r="K214" s="40"/>
      <c r="L214" s="167"/>
      <c r="M214" s="59"/>
      <c r="N214" s="97"/>
      <c r="O214" s="32"/>
      <c r="P214" s="85"/>
      <c r="Q214" s="126"/>
      <c r="R214" s="126"/>
      <c r="S214" s="126"/>
      <c r="T214" s="85"/>
      <c r="U214" s="85"/>
      <c r="V214" s="85"/>
      <c r="W214" s="85"/>
    </row>
    <row r="215" spans="1:23" s="33" customFormat="1" ht="13.8" x14ac:dyDescent="0.25">
      <c r="A215" s="34"/>
      <c r="B215" s="39"/>
      <c r="C215" s="40">
        <v>2</v>
      </c>
      <c r="D215" s="40">
        <v>14.1</v>
      </c>
      <c r="E215" s="40">
        <v>0.2</v>
      </c>
      <c r="F215" s="40"/>
      <c r="G215" s="40"/>
      <c r="H215" s="40">
        <f t="shared" ref="H215:H231" si="26">+E215*D215</f>
        <v>2.8200000000000003</v>
      </c>
      <c r="I215" s="40"/>
      <c r="J215" s="40">
        <f t="shared" ref="J215:J231" si="27">+H215</f>
        <v>2.8200000000000003</v>
      </c>
      <c r="K215" s="40">
        <f t="shared" ref="K215:K231" si="28">+J215*C215</f>
        <v>5.6400000000000006</v>
      </c>
      <c r="L215" s="40"/>
      <c r="M215" s="59"/>
      <c r="N215" s="97"/>
      <c r="O215" s="32"/>
      <c r="P215" s="85"/>
      <c r="Q215" s="126"/>
      <c r="R215" s="126"/>
      <c r="S215" s="126"/>
      <c r="T215" s="85"/>
      <c r="U215" s="85"/>
      <c r="V215" s="85"/>
      <c r="W215" s="85"/>
    </row>
    <row r="216" spans="1:23" s="33" customFormat="1" ht="13.8" x14ac:dyDescent="0.25">
      <c r="A216" s="34"/>
      <c r="B216" s="39"/>
      <c r="C216" s="40">
        <v>2</v>
      </c>
      <c r="D216" s="40">
        <v>7.4</v>
      </c>
      <c r="E216" s="40">
        <v>0.2</v>
      </c>
      <c r="F216" s="40"/>
      <c r="G216" s="40"/>
      <c r="H216" s="40">
        <f t="shared" si="26"/>
        <v>1.4800000000000002</v>
      </c>
      <c r="I216" s="40"/>
      <c r="J216" s="40">
        <f t="shared" si="27"/>
        <v>1.4800000000000002</v>
      </c>
      <c r="K216" s="40">
        <f t="shared" si="28"/>
        <v>2.9600000000000004</v>
      </c>
      <c r="L216" s="40"/>
      <c r="M216" s="59"/>
      <c r="N216" s="97"/>
      <c r="O216" s="32"/>
      <c r="P216" s="85"/>
      <c r="Q216" s="126"/>
      <c r="R216" s="126"/>
      <c r="S216" s="126"/>
      <c r="T216" s="85"/>
      <c r="U216" s="85"/>
      <c r="V216" s="85"/>
      <c r="W216" s="85"/>
    </row>
    <row r="217" spans="1:23" s="33" customFormat="1" ht="13.8" x14ac:dyDescent="0.25">
      <c r="A217" s="34"/>
      <c r="B217" s="39"/>
      <c r="C217" s="40">
        <v>2</v>
      </c>
      <c r="D217" s="40">
        <v>8.1999999999999993</v>
      </c>
      <c r="E217" s="40">
        <v>0.2</v>
      </c>
      <c r="F217" s="40"/>
      <c r="G217" s="40"/>
      <c r="H217" s="40">
        <f t="shared" si="26"/>
        <v>1.64</v>
      </c>
      <c r="I217" s="40"/>
      <c r="J217" s="40">
        <f t="shared" si="27"/>
        <v>1.64</v>
      </c>
      <c r="K217" s="40">
        <f t="shared" si="28"/>
        <v>3.28</v>
      </c>
      <c r="L217" s="40"/>
      <c r="M217" s="59"/>
      <c r="N217" s="97"/>
      <c r="O217" s="32"/>
      <c r="P217" s="85"/>
      <c r="Q217" s="126"/>
      <c r="R217" s="126"/>
      <c r="S217" s="126"/>
      <c r="T217" s="85"/>
      <c r="U217" s="85"/>
      <c r="V217" s="85"/>
      <c r="W217" s="85"/>
    </row>
    <row r="218" spans="1:23" s="33" customFormat="1" ht="13.8" x14ac:dyDescent="0.25">
      <c r="A218" s="34"/>
      <c r="B218" s="39"/>
      <c r="C218" s="40">
        <v>2</v>
      </c>
      <c r="D218" s="40">
        <v>14.9</v>
      </c>
      <c r="E218" s="40">
        <v>0.2</v>
      </c>
      <c r="F218" s="40"/>
      <c r="G218" s="40"/>
      <c r="H218" s="40">
        <f t="shared" si="26"/>
        <v>2.9800000000000004</v>
      </c>
      <c r="I218" s="40"/>
      <c r="J218" s="40">
        <f t="shared" si="27"/>
        <v>2.9800000000000004</v>
      </c>
      <c r="K218" s="40">
        <f t="shared" si="28"/>
        <v>5.9600000000000009</v>
      </c>
      <c r="L218" s="40"/>
      <c r="M218" s="59"/>
      <c r="N218" s="97"/>
      <c r="O218" s="32"/>
      <c r="P218" s="85"/>
      <c r="Q218" s="126"/>
      <c r="R218" s="126"/>
      <c r="S218" s="126"/>
      <c r="T218" s="85"/>
      <c r="U218" s="85"/>
      <c r="V218" s="85"/>
      <c r="W218" s="85"/>
    </row>
    <row r="219" spans="1:23" s="33" customFormat="1" ht="13.8" x14ac:dyDescent="0.25">
      <c r="A219" s="34"/>
      <c r="B219" s="39"/>
      <c r="C219" s="40">
        <v>2</v>
      </c>
      <c r="D219" s="40">
        <v>4.0999999999999996</v>
      </c>
      <c r="E219" s="40">
        <v>0.2</v>
      </c>
      <c r="F219" s="40"/>
      <c r="G219" s="40"/>
      <c r="H219" s="40">
        <f t="shared" si="26"/>
        <v>0.82</v>
      </c>
      <c r="I219" s="40"/>
      <c r="J219" s="40">
        <f t="shared" si="27"/>
        <v>0.82</v>
      </c>
      <c r="K219" s="40">
        <f t="shared" si="28"/>
        <v>1.64</v>
      </c>
      <c r="L219" s="40"/>
      <c r="M219" s="59"/>
      <c r="N219" s="97"/>
      <c r="O219" s="32"/>
      <c r="P219" s="85"/>
      <c r="Q219" s="126"/>
      <c r="R219" s="126"/>
      <c r="S219" s="126"/>
      <c r="T219" s="85"/>
      <c r="U219" s="85"/>
      <c r="V219" s="85"/>
      <c r="W219" s="85"/>
    </row>
    <row r="220" spans="1:23" s="33" customFormat="1" ht="13.8" x14ac:dyDescent="0.25">
      <c r="A220" s="34"/>
      <c r="B220" s="39"/>
      <c r="C220" s="40">
        <v>2</v>
      </c>
      <c r="D220" s="40">
        <v>8</v>
      </c>
      <c r="E220" s="40">
        <v>0.2</v>
      </c>
      <c r="F220" s="40"/>
      <c r="G220" s="40"/>
      <c r="H220" s="40">
        <f t="shared" si="26"/>
        <v>1.6</v>
      </c>
      <c r="I220" s="40"/>
      <c r="J220" s="40">
        <f t="shared" si="27"/>
        <v>1.6</v>
      </c>
      <c r="K220" s="40">
        <f t="shared" si="28"/>
        <v>3.2</v>
      </c>
      <c r="L220" s="40"/>
      <c r="M220" s="59"/>
      <c r="N220" s="97"/>
      <c r="O220" s="32"/>
      <c r="P220" s="85"/>
      <c r="Q220" s="126"/>
      <c r="R220" s="126"/>
      <c r="S220" s="126"/>
      <c r="T220" s="85"/>
      <c r="U220" s="85"/>
      <c r="V220" s="85"/>
      <c r="W220" s="85"/>
    </row>
    <row r="221" spans="1:23" s="33" customFormat="1" ht="13.8" x14ac:dyDescent="0.25">
      <c r="A221" s="34"/>
      <c r="B221" s="39"/>
      <c r="C221" s="40">
        <v>2</v>
      </c>
      <c r="D221" s="40">
        <v>15.6</v>
      </c>
      <c r="E221" s="40">
        <v>0.2</v>
      </c>
      <c r="F221" s="40"/>
      <c r="G221" s="40"/>
      <c r="H221" s="40">
        <f t="shared" si="26"/>
        <v>3.12</v>
      </c>
      <c r="I221" s="40"/>
      <c r="J221" s="40">
        <f t="shared" si="27"/>
        <v>3.12</v>
      </c>
      <c r="K221" s="40">
        <f t="shared" si="28"/>
        <v>6.24</v>
      </c>
      <c r="L221" s="40"/>
      <c r="M221" s="59"/>
      <c r="N221" s="97"/>
      <c r="O221" s="32"/>
      <c r="P221" s="85"/>
      <c r="Q221" s="126"/>
      <c r="R221" s="126"/>
      <c r="S221" s="126"/>
      <c r="T221" s="85"/>
      <c r="U221" s="85"/>
      <c r="V221" s="85"/>
      <c r="W221" s="85"/>
    </row>
    <row r="222" spans="1:23" s="33" customFormat="1" ht="13.8" x14ac:dyDescent="0.25">
      <c r="A222" s="34"/>
      <c r="B222" s="39"/>
      <c r="C222" s="40">
        <v>2</v>
      </c>
      <c r="D222" s="40">
        <v>7</v>
      </c>
      <c r="E222" s="40">
        <v>0.2</v>
      </c>
      <c r="F222" s="40"/>
      <c r="G222" s="40"/>
      <c r="H222" s="40">
        <f t="shared" si="26"/>
        <v>1.4000000000000001</v>
      </c>
      <c r="I222" s="40"/>
      <c r="J222" s="40">
        <f t="shared" si="27"/>
        <v>1.4000000000000001</v>
      </c>
      <c r="K222" s="40">
        <f t="shared" si="28"/>
        <v>2.8000000000000003</v>
      </c>
      <c r="L222" s="40"/>
      <c r="M222" s="59"/>
      <c r="N222" s="97"/>
      <c r="O222" s="32"/>
      <c r="P222" s="85"/>
      <c r="Q222" s="126"/>
      <c r="R222" s="126"/>
      <c r="S222" s="126"/>
      <c r="T222" s="85"/>
      <c r="U222" s="85"/>
      <c r="V222" s="85"/>
      <c r="W222" s="85"/>
    </row>
    <row r="223" spans="1:23" s="33" customFormat="1" ht="13.8" x14ac:dyDescent="0.25">
      <c r="A223" s="34"/>
      <c r="B223" s="39"/>
      <c r="C223" s="40">
        <v>2</v>
      </c>
      <c r="D223" s="40">
        <v>9.1</v>
      </c>
      <c r="E223" s="40">
        <v>0.2</v>
      </c>
      <c r="F223" s="40"/>
      <c r="G223" s="40"/>
      <c r="H223" s="40">
        <f t="shared" si="26"/>
        <v>1.82</v>
      </c>
      <c r="I223" s="40"/>
      <c r="J223" s="40">
        <f t="shared" si="27"/>
        <v>1.82</v>
      </c>
      <c r="K223" s="40">
        <f t="shared" si="28"/>
        <v>3.64</v>
      </c>
      <c r="L223" s="40"/>
      <c r="M223" s="59"/>
      <c r="N223" s="97"/>
      <c r="O223" s="32"/>
      <c r="P223" s="85"/>
      <c r="Q223" s="126"/>
      <c r="R223" s="126"/>
      <c r="S223" s="126"/>
      <c r="T223" s="85"/>
      <c r="U223" s="85"/>
      <c r="V223" s="85"/>
      <c r="W223" s="85"/>
    </row>
    <row r="224" spans="1:23" s="33" customFormat="1" ht="13.8" x14ac:dyDescent="0.25">
      <c r="A224" s="34"/>
      <c r="B224" s="39"/>
      <c r="C224" s="40">
        <v>2</v>
      </c>
      <c r="D224" s="40">
        <v>5.8</v>
      </c>
      <c r="E224" s="40">
        <v>0.2</v>
      </c>
      <c r="F224" s="40"/>
      <c r="G224" s="40"/>
      <c r="H224" s="40">
        <f t="shared" si="26"/>
        <v>1.1599999999999999</v>
      </c>
      <c r="I224" s="40"/>
      <c r="J224" s="40">
        <f t="shared" si="27"/>
        <v>1.1599999999999999</v>
      </c>
      <c r="K224" s="40">
        <f t="shared" si="28"/>
        <v>2.3199999999999998</v>
      </c>
      <c r="L224" s="40"/>
      <c r="M224" s="59"/>
      <c r="N224" s="97"/>
      <c r="O224" s="32"/>
      <c r="P224" s="85"/>
      <c r="Q224" s="126"/>
      <c r="R224" s="126"/>
      <c r="S224" s="126"/>
      <c r="T224" s="85"/>
      <c r="U224" s="85"/>
      <c r="V224" s="85"/>
      <c r="W224" s="85"/>
    </row>
    <row r="225" spans="1:23" s="33" customFormat="1" ht="13.8" x14ac:dyDescent="0.25">
      <c r="A225" s="34"/>
      <c r="B225" s="39"/>
      <c r="C225" s="40">
        <v>2</v>
      </c>
      <c r="D225" s="40">
        <v>14.7</v>
      </c>
      <c r="E225" s="40">
        <v>0.2</v>
      </c>
      <c r="F225" s="40"/>
      <c r="G225" s="40"/>
      <c r="H225" s="40">
        <f t="shared" si="26"/>
        <v>2.94</v>
      </c>
      <c r="I225" s="40"/>
      <c r="J225" s="40">
        <f t="shared" si="27"/>
        <v>2.94</v>
      </c>
      <c r="K225" s="40">
        <f t="shared" si="28"/>
        <v>5.88</v>
      </c>
      <c r="L225" s="40"/>
      <c r="M225" s="59"/>
      <c r="N225" s="97"/>
      <c r="O225" s="32"/>
      <c r="P225" s="85"/>
      <c r="Q225" s="126"/>
      <c r="R225" s="126"/>
      <c r="S225" s="126"/>
      <c r="T225" s="85"/>
      <c r="U225" s="85"/>
      <c r="V225" s="85"/>
      <c r="W225" s="85"/>
    </row>
    <row r="226" spans="1:23" s="33" customFormat="1" ht="13.8" x14ac:dyDescent="0.25">
      <c r="A226" s="34"/>
      <c r="B226" s="39"/>
      <c r="C226" s="40">
        <v>2</v>
      </c>
      <c r="D226" s="40">
        <v>2.9</v>
      </c>
      <c r="E226" s="40">
        <v>0.2</v>
      </c>
      <c r="F226" s="40"/>
      <c r="G226" s="40"/>
      <c r="H226" s="40">
        <f t="shared" si="26"/>
        <v>0.57999999999999996</v>
      </c>
      <c r="I226" s="40"/>
      <c r="J226" s="40">
        <f t="shared" si="27"/>
        <v>0.57999999999999996</v>
      </c>
      <c r="K226" s="40">
        <f t="shared" si="28"/>
        <v>1.1599999999999999</v>
      </c>
      <c r="L226" s="40"/>
      <c r="M226" s="59"/>
      <c r="N226" s="97"/>
      <c r="O226" s="32"/>
      <c r="P226" s="85"/>
      <c r="Q226" s="126"/>
      <c r="R226" s="126"/>
      <c r="S226" s="126"/>
      <c r="T226" s="85"/>
      <c r="U226" s="85"/>
      <c r="V226" s="85"/>
      <c r="W226" s="85"/>
    </row>
    <row r="227" spans="1:23" s="33" customFormat="1" ht="13.8" x14ac:dyDescent="0.25">
      <c r="A227" s="34"/>
      <c r="B227" s="39"/>
      <c r="C227" s="40">
        <v>2</v>
      </c>
      <c r="D227" s="40">
        <v>14.7</v>
      </c>
      <c r="E227" s="40">
        <v>0.2</v>
      </c>
      <c r="F227" s="40"/>
      <c r="G227" s="40"/>
      <c r="H227" s="40">
        <f t="shared" si="26"/>
        <v>2.94</v>
      </c>
      <c r="I227" s="40"/>
      <c r="J227" s="40">
        <f t="shared" si="27"/>
        <v>2.94</v>
      </c>
      <c r="K227" s="40">
        <f t="shared" si="28"/>
        <v>5.88</v>
      </c>
      <c r="L227" s="40"/>
      <c r="M227" s="59"/>
      <c r="N227" s="97"/>
      <c r="O227" s="32"/>
      <c r="P227" s="85"/>
      <c r="Q227" s="126"/>
      <c r="R227" s="126"/>
      <c r="S227" s="126"/>
      <c r="T227" s="85"/>
      <c r="U227" s="85"/>
      <c r="V227" s="85"/>
      <c r="W227" s="85"/>
    </row>
    <row r="228" spans="1:23" s="33" customFormat="1" ht="13.8" x14ac:dyDescent="0.25">
      <c r="A228" s="34"/>
      <c r="B228" s="39"/>
      <c r="C228" s="40">
        <v>2</v>
      </c>
      <c r="D228" s="40">
        <v>7.9</v>
      </c>
      <c r="E228" s="40">
        <v>0.2</v>
      </c>
      <c r="F228" s="40"/>
      <c r="G228" s="40"/>
      <c r="H228" s="40">
        <f t="shared" si="26"/>
        <v>1.58</v>
      </c>
      <c r="I228" s="40"/>
      <c r="J228" s="40">
        <f t="shared" si="27"/>
        <v>1.58</v>
      </c>
      <c r="K228" s="40">
        <f t="shared" si="28"/>
        <v>3.16</v>
      </c>
      <c r="L228" s="40"/>
      <c r="M228" s="59"/>
      <c r="N228" s="97"/>
      <c r="O228" s="32"/>
      <c r="P228" s="85"/>
      <c r="Q228" s="126"/>
      <c r="R228" s="126"/>
      <c r="S228" s="126"/>
      <c r="T228" s="85"/>
      <c r="U228" s="85"/>
      <c r="V228" s="85"/>
      <c r="W228" s="85"/>
    </row>
    <row r="229" spans="1:23" s="33" customFormat="1" ht="13.8" x14ac:dyDescent="0.25">
      <c r="A229" s="34"/>
      <c r="B229" s="39"/>
      <c r="C229" s="40">
        <v>2</v>
      </c>
      <c r="D229" s="40">
        <v>1.3</v>
      </c>
      <c r="E229" s="40">
        <v>0.2</v>
      </c>
      <c r="F229" s="40"/>
      <c r="G229" s="40"/>
      <c r="H229" s="40">
        <f t="shared" si="26"/>
        <v>0.26</v>
      </c>
      <c r="I229" s="40"/>
      <c r="J229" s="40">
        <f t="shared" si="27"/>
        <v>0.26</v>
      </c>
      <c r="K229" s="40">
        <f t="shared" si="28"/>
        <v>0.52</v>
      </c>
      <c r="L229" s="40"/>
      <c r="M229" s="59"/>
      <c r="N229" s="97"/>
      <c r="O229" s="32"/>
      <c r="P229" s="85"/>
      <c r="Q229" s="126"/>
      <c r="R229" s="126"/>
      <c r="S229" s="126"/>
      <c r="T229" s="85"/>
      <c r="U229" s="85"/>
      <c r="V229" s="85"/>
      <c r="W229" s="85"/>
    </row>
    <row r="230" spans="1:23" s="33" customFormat="1" ht="13.8" x14ac:dyDescent="0.25">
      <c r="A230" s="34"/>
      <c r="B230" s="39"/>
      <c r="C230" s="40">
        <v>2</v>
      </c>
      <c r="D230" s="40">
        <v>6.9</v>
      </c>
      <c r="E230" s="40">
        <v>0.2</v>
      </c>
      <c r="F230" s="40"/>
      <c r="G230" s="40"/>
      <c r="H230" s="40">
        <f t="shared" si="26"/>
        <v>1.3800000000000001</v>
      </c>
      <c r="I230" s="40"/>
      <c r="J230" s="40">
        <f t="shared" si="27"/>
        <v>1.3800000000000001</v>
      </c>
      <c r="K230" s="40">
        <f t="shared" si="28"/>
        <v>2.7600000000000002</v>
      </c>
      <c r="L230" s="40"/>
      <c r="M230" s="59"/>
      <c r="N230" s="97"/>
      <c r="O230" s="32"/>
      <c r="P230" s="85"/>
      <c r="Q230" s="126"/>
      <c r="R230" s="126"/>
      <c r="S230" s="126"/>
      <c r="T230" s="85"/>
      <c r="U230" s="85"/>
      <c r="V230" s="85"/>
      <c r="W230" s="85"/>
    </row>
    <row r="231" spans="1:23" s="33" customFormat="1" ht="13.8" x14ac:dyDescent="0.25">
      <c r="A231" s="34"/>
      <c r="B231" s="39"/>
      <c r="C231" s="40">
        <v>2</v>
      </c>
      <c r="D231" s="40">
        <v>14.5</v>
      </c>
      <c r="E231" s="40">
        <v>0.2</v>
      </c>
      <c r="F231" s="40"/>
      <c r="G231" s="40"/>
      <c r="H231" s="40">
        <f t="shared" si="26"/>
        <v>2.9000000000000004</v>
      </c>
      <c r="I231" s="40"/>
      <c r="J231" s="40">
        <f t="shared" si="27"/>
        <v>2.9000000000000004</v>
      </c>
      <c r="K231" s="40">
        <f t="shared" si="28"/>
        <v>5.8000000000000007</v>
      </c>
      <c r="L231" s="40"/>
      <c r="M231" s="59"/>
      <c r="N231" s="97"/>
      <c r="O231" s="32"/>
      <c r="P231" s="85"/>
      <c r="Q231" s="126"/>
      <c r="R231" s="126"/>
      <c r="S231" s="126"/>
      <c r="T231" s="85"/>
      <c r="U231" s="85"/>
      <c r="V231" s="85"/>
      <c r="W231" s="85"/>
    </row>
    <row r="232" spans="1:23" s="66" customFormat="1" ht="13.8" x14ac:dyDescent="0.25">
      <c r="A232" s="34"/>
      <c r="B232" s="68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59"/>
      <c r="N232" s="98"/>
      <c r="O232" s="65"/>
      <c r="P232" s="87"/>
      <c r="Q232" s="128"/>
      <c r="R232" s="128"/>
      <c r="S232" s="128"/>
      <c r="T232" s="87"/>
      <c r="U232" s="87"/>
      <c r="V232" s="87"/>
      <c r="W232" s="87"/>
    </row>
    <row r="233" spans="1:23" s="66" customFormat="1" ht="27.6" x14ac:dyDescent="0.25">
      <c r="A233" s="34"/>
      <c r="B233" s="58" t="s">
        <v>197</v>
      </c>
      <c r="C233" s="40"/>
      <c r="D233" s="40"/>
      <c r="E233" s="40"/>
      <c r="F233" s="40"/>
      <c r="G233" s="40"/>
      <c r="H233" s="40"/>
      <c r="I233" s="40"/>
      <c r="J233" s="40"/>
      <c r="K233" s="40"/>
      <c r="L233" s="131">
        <v>1</v>
      </c>
      <c r="M233" s="59">
        <f>+SUM(K234:K238)*L233</f>
        <v>7.5720000000000001</v>
      </c>
      <c r="N233" s="59" t="s">
        <v>11</v>
      </c>
      <c r="O233" s="65"/>
      <c r="P233" s="87"/>
      <c r="Q233" s="128"/>
      <c r="R233" s="128"/>
      <c r="S233" s="128"/>
      <c r="T233" s="87"/>
      <c r="U233" s="87"/>
      <c r="V233" s="87"/>
      <c r="W233" s="87"/>
    </row>
    <row r="234" spans="1:23" s="33" customFormat="1" ht="13.8" x14ac:dyDescent="0.25">
      <c r="A234" s="34"/>
      <c r="B234" s="39" t="s">
        <v>460</v>
      </c>
      <c r="C234" s="40">
        <v>1</v>
      </c>
      <c r="D234" s="40"/>
      <c r="E234" s="40"/>
      <c r="F234" s="40">
        <v>0.12</v>
      </c>
      <c r="G234" s="40"/>
      <c r="H234" s="40">
        <v>20.399999999999999</v>
      </c>
      <c r="I234" s="40">
        <f>+H234*F234</f>
        <v>2.448</v>
      </c>
      <c r="J234" s="40">
        <f t="shared" ref="J234:J238" si="29">+I234</f>
        <v>2.448</v>
      </c>
      <c r="K234" s="40">
        <f t="shared" ref="K234:K238" si="30">+J234*C234</f>
        <v>2.448</v>
      </c>
      <c r="L234" s="40"/>
      <c r="M234" s="59"/>
      <c r="N234" s="97"/>
      <c r="O234" s="32"/>
      <c r="P234" s="85"/>
      <c r="Q234" s="126"/>
      <c r="R234" s="126"/>
      <c r="S234" s="126"/>
      <c r="T234" s="85"/>
      <c r="U234" s="85"/>
      <c r="V234" s="85"/>
      <c r="W234" s="85"/>
    </row>
    <row r="235" spans="1:23" s="33" customFormat="1" ht="13.8" x14ac:dyDescent="0.25">
      <c r="A235" s="34"/>
      <c r="B235" s="39" t="s">
        <v>370</v>
      </c>
      <c r="C235" s="40">
        <v>1</v>
      </c>
      <c r="D235" s="40"/>
      <c r="E235" s="40"/>
      <c r="F235" s="40">
        <v>0.12</v>
      </c>
      <c r="G235" s="40"/>
      <c r="H235" s="40">
        <v>16.5</v>
      </c>
      <c r="I235" s="40">
        <f>+H235*F235</f>
        <v>1.98</v>
      </c>
      <c r="J235" s="40">
        <f t="shared" si="29"/>
        <v>1.98</v>
      </c>
      <c r="K235" s="40">
        <f t="shared" si="30"/>
        <v>1.98</v>
      </c>
      <c r="L235" s="40"/>
      <c r="M235" s="59"/>
      <c r="N235" s="97"/>
      <c r="O235" s="32"/>
      <c r="P235" s="85"/>
      <c r="Q235" s="126"/>
      <c r="R235" s="126"/>
      <c r="S235" s="126"/>
      <c r="T235" s="85"/>
      <c r="U235" s="85"/>
      <c r="V235" s="85"/>
      <c r="W235" s="85"/>
    </row>
    <row r="236" spans="1:23" s="33" customFormat="1" ht="13.8" x14ac:dyDescent="0.25">
      <c r="A236" s="34"/>
      <c r="B236" s="39" t="s">
        <v>292</v>
      </c>
      <c r="C236" s="40">
        <v>1</v>
      </c>
      <c r="D236" s="40"/>
      <c r="E236" s="40"/>
      <c r="F236" s="40">
        <v>0.12</v>
      </c>
      <c r="G236" s="40"/>
      <c r="H236" s="40">
        <v>4.3</v>
      </c>
      <c r="I236" s="40">
        <f>+H236*F236</f>
        <v>0.51600000000000001</v>
      </c>
      <c r="J236" s="40">
        <f t="shared" si="29"/>
        <v>0.51600000000000001</v>
      </c>
      <c r="K236" s="40">
        <f t="shared" si="30"/>
        <v>0.51600000000000001</v>
      </c>
      <c r="L236" s="40"/>
      <c r="M236" s="59"/>
      <c r="N236" s="97"/>
      <c r="O236" s="32"/>
      <c r="P236" s="85"/>
      <c r="Q236" s="126"/>
      <c r="R236" s="126"/>
      <c r="S236" s="126"/>
      <c r="T236" s="85"/>
      <c r="U236" s="85"/>
      <c r="V236" s="85"/>
      <c r="W236" s="85"/>
    </row>
    <row r="237" spans="1:23" s="33" customFormat="1" ht="13.8" x14ac:dyDescent="0.25">
      <c r="A237" s="34"/>
      <c r="B237" s="39" t="s">
        <v>266</v>
      </c>
      <c r="C237" s="40">
        <v>1</v>
      </c>
      <c r="D237" s="40"/>
      <c r="E237" s="40"/>
      <c r="F237" s="40">
        <v>0.12</v>
      </c>
      <c r="G237" s="40"/>
      <c r="H237" s="40">
        <v>2.4</v>
      </c>
      <c r="I237" s="40">
        <f>+H237*F237</f>
        <v>0.28799999999999998</v>
      </c>
      <c r="J237" s="40">
        <f t="shared" si="29"/>
        <v>0.28799999999999998</v>
      </c>
      <c r="K237" s="40">
        <f t="shared" si="30"/>
        <v>0.28799999999999998</v>
      </c>
      <c r="L237" s="40"/>
      <c r="M237" s="59"/>
      <c r="N237" s="97"/>
      <c r="O237" s="32"/>
      <c r="P237" s="85"/>
      <c r="Q237" s="126"/>
      <c r="R237" s="126"/>
      <c r="S237" s="126"/>
      <c r="T237" s="85"/>
      <c r="U237" s="85"/>
      <c r="V237" s="85"/>
      <c r="W237" s="85"/>
    </row>
    <row r="238" spans="1:23" s="33" customFormat="1" ht="13.8" x14ac:dyDescent="0.25">
      <c r="A238" s="34"/>
      <c r="B238" s="39" t="s">
        <v>461</v>
      </c>
      <c r="C238" s="40">
        <v>1</v>
      </c>
      <c r="D238" s="40"/>
      <c r="E238" s="40"/>
      <c r="F238" s="40">
        <v>0.12</v>
      </c>
      <c r="G238" s="40"/>
      <c r="H238" s="40">
        <v>19.5</v>
      </c>
      <c r="I238" s="40">
        <f>+H238*F238</f>
        <v>2.34</v>
      </c>
      <c r="J238" s="40">
        <f t="shared" si="29"/>
        <v>2.34</v>
      </c>
      <c r="K238" s="40">
        <f t="shared" si="30"/>
        <v>2.34</v>
      </c>
      <c r="L238" s="40"/>
      <c r="M238" s="59"/>
      <c r="N238" s="97"/>
      <c r="O238" s="32"/>
      <c r="P238" s="85"/>
      <c r="Q238" s="126"/>
      <c r="R238" s="126"/>
      <c r="S238" s="126"/>
      <c r="T238" s="85"/>
      <c r="U238" s="85"/>
      <c r="V238" s="85"/>
      <c r="W238" s="85"/>
    </row>
    <row r="239" spans="1:23" s="33" customFormat="1" ht="13.8" x14ac:dyDescent="0.25">
      <c r="A239" s="34"/>
      <c r="B239" s="38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59"/>
      <c r="N239" s="97"/>
      <c r="O239" s="32"/>
      <c r="P239" s="85"/>
      <c r="Q239" s="126"/>
      <c r="R239" s="126"/>
      <c r="S239" s="126"/>
      <c r="T239" s="85"/>
      <c r="U239" s="85"/>
      <c r="V239" s="85"/>
      <c r="W239" s="85"/>
    </row>
    <row r="240" spans="1:23" s="33" customFormat="1" ht="13.8" x14ac:dyDescent="0.25">
      <c r="A240" s="34"/>
      <c r="B240" s="58" t="s">
        <v>45</v>
      </c>
      <c r="C240" s="40"/>
      <c r="D240" s="40"/>
      <c r="E240" s="40"/>
      <c r="F240" s="40"/>
      <c r="G240" s="40"/>
      <c r="H240" s="40"/>
      <c r="I240" s="40"/>
      <c r="J240" s="40"/>
      <c r="K240" s="40"/>
      <c r="L240" s="131">
        <v>1</v>
      </c>
      <c r="M240" s="59">
        <f>+SUM(K242:K291)*L240</f>
        <v>50.893174999999985</v>
      </c>
      <c r="N240" s="59" t="s">
        <v>11</v>
      </c>
      <c r="O240" s="32"/>
      <c r="P240" s="85"/>
      <c r="Q240" s="126"/>
      <c r="R240" s="126"/>
      <c r="S240" s="126"/>
      <c r="T240" s="85"/>
      <c r="U240" s="85"/>
      <c r="V240" s="85"/>
      <c r="W240" s="85"/>
    </row>
    <row r="241" spans="1:23" s="33" customFormat="1" ht="13.8" x14ac:dyDescent="0.25">
      <c r="A241" s="34"/>
      <c r="B241" s="61" t="s">
        <v>194</v>
      </c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59"/>
      <c r="N241" s="97"/>
      <c r="O241" s="32"/>
      <c r="P241" s="85"/>
      <c r="Q241" s="126"/>
      <c r="R241" s="126"/>
      <c r="S241" s="126"/>
      <c r="T241" s="85"/>
      <c r="U241" s="85"/>
      <c r="V241" s="85"/>
      <c r="W241" s="85"/>
    </row>
    <row r="242" spans="1:23" s="33" customFormat="1" ht="13.8" x14ac:dyDescent="0.25">
      <c r="A242" s="34"/>
      <c r="B242" s="35"/>
      <c r="C242" s="40">
        <v>1</v>
      </c>
      <c r="D242" s="40">
        <v>15.2</v>
      </c>
      <c r="E242" s="40">
        <v>1.1000000000000001</v>
      </c>
      <c r="F242" s="40">
        <v>0.3</v>
      </c>
      <c r="G242" s="40"/>
      <c r="H242" s="40"/>
      <c r="I242" s="40">
        <f>+F242*E242*D242</f>
        <v>5.016</v>
      </c>
      <c r="J242" s="40">
        <f>+I242</f>
        <v>5.016</v>
      </c>
      <c r="K242" s="40">
        <f>+J242*C242</f>
        <v>5.016</v>
      </c>
      <c r="L242" s="40"/>
      <c r="M242" s="59"/>
      <c r="N242" s="97"/>
      <c r="O242" s="32"/>
      <c r="P242" s="85"/>
      <c r="Q242" s="126"/>
      <c r="R242" s="126"/>
      <c r="S242" s="126"/>
      <c r="T242" s="85"/>
      <c r="U242" s="85"/>
      <c r="V242" s="85"/>
      <c r="W242" s="85"/>
    </row>
    <row r="243" spans="1:23" s="33" customFormat="1" ht="13.8" x14ac:dyDescent="0.25">
      <c r="A243" s="34"/>
      <c r="B243" s="35"/>
      <c r="C243" s="40">
        <v>1</v>
      </c>
      <c r="D243" s="40">
        <v>9.6</v>
      </c>
      <c r="E243" s="40">
        <v>1.65</v>
      </c>
      <c r="F243" s="40">
        <v>0.45</v>
      </c>
      <c r="G243" s="40"/>
      <c r="H243" s="40"/>
      <c r="I243" s="40">
        <f t="shared" ref="I243:I291" si="31">+F243*E243*D243</f>
        <v>7.1279999999999992</v>
      </c>
      <c r="J243" s="40">
        <f t="shared" ref="J243:J291" si="32">+I243</f>
        <v>7.1279999999999992</v>
      </c>
      <c r="K243" s="40">
        <f t="shared" ref="K243:K291" si="33">+J243*C243</f>
        <v>7.1279999999999992</v>
      </c>
      <c r="L243" s="40"/>
      <c r="M243" s="59"/>
      <c r="N243" s="97"/>
      <c r="O243" s="32"/>
      <c r="P243" s="85"/>
      <c r="Q243" s="126"/>
      <c r="R243" s="126"/>
      <c r="S243" s="126"/>
      <c r="T243" s="85"/>
      <c r="U243" s="85"/>
      <c r="V243" s="85"/>
      <c r="W243" s="85"/>
    </row>
    <row r="244" spans="1:23" s="33" customFormat="1" ht="13.8" x14ac:dyDescent="0.25">
      <c r="A244" s="34"/>
      <c r="B244" s="35"/>
      <c r="C244" s="40">
        <v>1</v>
      </c>
      <c r="D244" s="40">
        <v>4.5999999999999996</v>
      </c>
      <c r="E244" s="40">
        <v>1.2</v>
      </c>
      <c r="F244" s="40">
        <v>0.3</v>
      </c>
      <c r="G244" s="40"/>
      <c r="H244" s="40"/>
      <c r="I244" s="40">
        <f t="shared" si="31"/>
        <v>1.6559999999999999</v>
      </c>
      <c r="J244" s="40">
        <f t="shared" si="32"/>
        <v>1.6559999999999999</v>
      </c>
      <c r="K244" s="40">
        <f t="shared" si="33"/>
        <v>1.6559999999999999</v>
      </c>
      <c r="L244" s="40"/>
      <c r="M244" s="59"/>
      <c r="N244" s="97"/>
      <c r="O244" s="32"/>
      <c r="P244" s="85"/>
      <c r="Q244" s="126"/>
      <c r="R244" s="126"/>
      <c r="S244" s="126"/>
      <c r="T244" s="85"/>
      <c r="U244" s="85"/>
      <c r="V244" s="85"/>
      <c r="W244" s="85"/>
    </row>
    <row r="245" spans="1:23" s="33" customFormat="1" ht="13.8" x14ac:dyDescent="0.25">
      <c r="A245" s="34"/>
      <c r="B245" s="35"/>
      <c r="C245" s="40">
        <v>1</v>
      </c>
      <c r="D245" s="40">
        <v>16.5</v>
      </c>
      <c r="E245" s="40">
        <v>0.9</v>
      </c>
      <c r="F245" s="40">
        <v>0.25</v>
      </c>
      <c r="G245" s="40"/>
      <c r="H245" s="40"/>
      <c r="I245" s="40">
        <f t="shared" si="31"/>
        <v>3.7124999999999999</v>
      </c>
      <c r="J245" s="40">
        <f t="shared" si="32"/>
        <v>3.7124999999999999</v>
      </c>
      <c r="K245" s="40">
        <f t="shared" si="33"/>
        <v>3.7124999999999999</v>
      </c>
      <c r="L245" s="40"/>
      <c r="M245" s="59"/>
      <c r="N245" s="97"/>
      <c r="O245" s="32"/>
      <c r="P245" s="85"/>
      <c r="Q245" s="126"/>
      <c r="R245" s="126"/>
      <c r="S245" s="126"/>
      <c r="T245" s="85"/>
      <c r="U245" s="85"/>
      <c r="V245" s="85"/>
      <c r="W245" s="85"/>
    </row>
    <row r="246" spans="1:23" s="33" customFormat="1" ht="13.8" x14ac:dyDescent="0.25">
      <c r="A246" s="34"/>
      <c r="B246" s="35"/>
      <c r="C246" s="40">
        <v>1</v>
      </c>
      <c r="D246" s="40">
        <v>7.8</v>
      </c>
      <c r="E246" s="40">
        <v>0.85</v>
      </c>
      <c r="F246" s="40">
        <v>0.25</v>
      </c>
      <c r="G246" s="40"/>
      <c r="H246" s="40"/>
      <c r="I246" s="40">
        <f t="shared" si="31"/>
        <v>1.6575</v>
      </c>
      <c r="J246" s="40">
        <f t="shared" si="32"/>
        <v>1.6575</v>
      </c>
      <c r="K246" s="40">
        <f t="shared" si="33"/>
        <v>1.6575</v>
      </c>
      <c r="L246" s="40"/>
      <c r="M246" s="59"/>
      <c r="N246" s="97"/>
      <c r="O246" s="32"/>
      <c r="P246" s="85"/>
      <c r="Q246" s="126"/>
      <c r="R246" s="126"/>
      <c r="S246" s="126"/>
      <c r="T246" s="85"/>
      <c r="U246" s="85"/>
      <c r="V246" s="85"/>
      <c r="W246" s="85"/>
    </row>
    <row r="247" spans="1:23" s="33" customFormat="1" ht="13.8" x14ac:dyDescent="0.25">
      <c r="A247" s="34"/>
      <c r="B247" s="67"/>
      <c r="C247" s="40">
        <v>1</v>
      </c>
      <c r="D247" s="40">
        <v>7.8</v>
      </c>
      <c r="E247" s="40">
        <v>1.1000000000000001</v>
      </c>
      <c r="F247" s="40">
        <v>0.3</v>
      </c>
      <c r="G247" s="40"/>
      <c r="H247" s="40"/>
      <c r="I247" s="40">
        <f t="shared" si="31"/>
        <v>2.5739999999999998</v>
      </c>
      <c r="J247" s="40">
        <f t="shared" si="32"/>
        <v>2.5739999999999998</v>
      </c>
      <c r="K247" s="40">
        <f t="shared" si="33"/>
        <v>2.5739999999999998</v>
      </c>
      <c r="L247" s="40"/>
      <c r="M247" s="59"/>
      <c r="N247" s="97"/>
      <c r="O247" s="32"/>
      <c r="P247" s="85"/>
      <c r="Q247" s="126"/>
      <c r="R247" s="126"/>
      <c r="S247" s="126"/>
      <c r="T247" s="85"/>
      <c r="U247" s="85"/>
      <c r="V247" s="85"/>
      <c r="W247" s="85"/>
    </row>
    <row r="248" spans="1:23" s="33" customFormat="1" ht="13.8" x14ac:dyDescent="0.25">
      <c r="A248" s="34"/>
      <c r="B248" s="67"/>
      <c r="C248" s="40">
        <v>1</v>
      </c>
      <c r="D248" s="40">
        <v>2.2000000000000002</v>
      </c>
      <c r="E248" s="40">
        <v>0.5</v>
      </c>
      <c r="F248" s="40">
        <v>0.25</v>
      </c>
      <c r="G248" s="40"/>
      <c r="H248" s="40"/>
      <c r="I248" s="40">
        <f t="shared" si="31"/>
        <v>0.27500000000000002</v>
      </c>
      <c r="J248" s="40">
        <f t="shared" si="32"/>
        <v>0.27500000000000002</v>
      </c>
      <c r="K248" s="40">
        <f t="shared" si="33"/>
        <v>0.27500000000000002</v>
      </c>
      <c r="L248" s="40"/>
      <c r="M248" s="59"/>
      <c r="N248" s="97"/>
      <c r="O248" s="32"/>
      <c r="P248" s="85"/>
      <c r="Q248" s="126"/>
      <c r="R248" s="126"/>
      <c r="S248" s="126"/>
      <c r="T248" s="85"/>
      <c r="U248" s="85"/>
      <c r="V248" s="85"/>
      <c r="W248" s="85"/>
    </row>
    <row r="249" spans="1:23" s="33" customFormat="1" ht="13.8" x14ac:dyDescent="0.25">
      <c r="A249" s="34"/>
      <c r="B249" s="61" t="s">
        <v>454</v>
      </c>
      <c r="C249" s="40"/>
      <c r="D249" s="40"/>
      <c r="E249" s="40"/>
      <c r="F249" s="40"/>
      <c r="G249" s="40"/>
      <c r="H249" s="40"/>
      <c r="I249" s="40">
        <f t="shared" si="31"/>
        <v>0</v>
      </c>
      <c r="J249" s="40">
        <f t="shared" si="32"/>
        <v>0</v>
      </c>
      <c r="K249" s="40">
        <f t="shared" si="33"/>
        <v>0</v>
      </c>
      <c r="L249" s="40"/>
      <c r="M249" s="59"/>
      <c r="N249" s="97"/>
      <c r="O249" s="32"/>
      <c r="P249" s="85"/>
      <c r="Q249" s="126"/>
      <c r="R249" s="126"/>
      <c r="S249" s="126"/>
      <c r="T249" s="85"/>
      <c r="U249" s="85"/>
      <c r="V249" s="85"/>
      <c r="W249" s="85"/>
    </row>
    <row r="250" spans="1:23" s="33" customFormat="1" ht="13.8" x14ac:dyDescent="0.25">
      <c r="A250" s="34"/>
      <c r="B250" s="35"/>
      <c r="C250" s="40">
        <v>1</v>
      </c>
      <c r="D250" s="40">
        <v>1.65</v>
      </c>
      <c r="E250" s="40">
        <v>1.85</v>
      </c>
      <c r="F250" s="40">
        <v>0.4</v>
      </c>
      <c r="G250" s="40"/>
      <c r="H250" s="40"/>
      <c r="I250" s="40">
        <f t="shared" si="31"/>
        <v>1.2210000000000001</v>
      </c>
      <c r="J250" s="40">
        <f t="shared" si="32"/>
        <v>1.2210000000000001</v>
      </c>
      <c r="K250" s="40">
        <f t="shared" si="33"/>
        <v>1.2210000000000001</v>
      </c>
      <c r="L250" s="40"/>
      <c r="M250" s="59"/>
      <c r="N250" s="97"/>
      <c r="O250" s="32"/>
      <c r="P250" s="85"/>
      <c r="Q250" s="126"/>
      <c r="R250" s="126"/>
      <c r="S250" s="126"/>
      <c r="T250" s="85"/>
      <c r="U250" s="85"/>
      <c r="V250" s="85"/>
      <c r="W250" s="85"/>
    </row>
    <row r="251" spans="1:23" s="33" customFormat="1" ht="13.8" x14ac:dyDescent="0.25">
      <c r="A251" s="34"/>
      <c r="B251" s="67"/>
      <c r="C251" s="40">
        <v>1</v>
      </c>
      <c r="D251" s="40">
        <v>1.6</v>
      </c>
      <c r="E251" s="40">
        <v>1.8</v>
      </c>
      <c r="F251" s="40">
        <v>0.4</v>
      </c>
      <c r="G251" s="40"/>
      <c r="H251" s="40"/>
      <c r="I251" s="40">
        <f t="shared" si="31"/>
        <v>1.1520000000000001</v>
      </c>
      <c r="J251" s="40">
        <f t="shared" si="32"/>
        <v>1.1520000000000001</v>
      </c>
      <c r="K251" s="40">
        <f t="shared" si="33"/>
        <v>1.1520000000000001</v>
      </c>
      <c r="L251" s="40"/>
      <c r="M251" s="59"/>
      <c r="N251" s="97"/>
      <c r="O251" s="32"/>
      <c r="P251" s="85"/>
      <c r="Q251" s="126"/>
      <c r="R251" s="126"/>
      <c r="S251" s="126"/>
      <c r="T251" s="85"/>
      <c r="U251" s="85"/>
      <c r="V251" s="85"/>
      <c r="W251" s="85"/>
    </row>
    <row r="252" spans="1:23" s="33" customFormat="1" ht="13.8" x14ac:dyDescent="0.25">
      <c r="A252" s="34"/>
      <c r="B252" s="35"/>
      <c r="C252" s="40">
        <v>4</v>
      </c>
      <c r="D252" s="40">
        <v>0.95</v>
      </c>
      <c r="E252" s="40">
        <v>0.95</v>
      </c>
      <c r="F252" s="40">
        <v>0.25</v>
      </c>
      <c r="G252" s="40"/>
      <c r="H252" s="40"/>
      <c r="I252" s="40">
        <f t="shared" si="31"/>
        <v>0.22562499999999999</v>
      </c>
      <c r="J252" s="40">
        <f t="shared" si="32"/>
        <v>0.22562499999999999</v>
      </c>
      <c r="K252" s="40">
        <f t="shared" si="33"/>
        <v>0.90249999999999997</v>
      </c>
      <c r="L252" s="40"/>
      <c r="M252" s="59"/>
      <c r="N252" s="97"/>
      <c r="O252" s="32"/>
      <c r="P252" s="85"/>
      <c r="Q252" s="126"/>
      <c r="R252" s="126"/>
      <c r="S252" s="126"/>
      <c r="T252" s="85"/>
      <c r="U252" s="85"/>
      <c r="V252" s="85"/>
      <c r="W252" s="85"/>
    </row>
    <row r="253" spans="1:23" s="33" customFormat="1" ht="13.8" x14ac:dyDescent="0.25">
      <c r="A253" s="34"/>
      <c r="B253" s="35"/>
      <c r="C253" s="40">
        <v>1</v>
      </c>
      <c r="D253" s="40">
        <v>1.25</v>
      </c>
      <c r="E253" s="40">
        <v>1.25</v>
      </c>
      <c r="F253" s="40">
        <v>0.35</v>
      </c>
      <c r="G253" s="40"/>
      <c r="H253" s="40"/>
      <c r="I253" s="40">
        <f t="shared" si="31"/>
        <v>0.546875</v>
      </c>
      <c r="J253" s="40">
        <f t="shared" si="32"/>
        <v>0.546875</v>
      </c>
      <c r="K253" s="40">
        <f t="shared" si="33"/>
        <v>0.546875</v>
      </c>
      <c r="L253" s="40"/>
      <c r="M253" s="59"/>
      <c r="N253" s="97"/>
      <c r="O253" s="32"/>
      <c r="P253" s="85"/>
      <c r="Q253" s="126"/>
      <c r="R253" s="126"/>
      <c r="S253" s="126"/>
      <c r="T253" s="85"/>
      <c r="U253" s="85"/>
      <c r="V253" s="85"/>
      <c r="W253" s="85"/>
    </row>
    <row r="254" spans="1:23" s="33" customFormat="1" ht="13.8" x14ac:dyDescent="0.25">
      <c r="A254" s="34"/>
      <c r="B254" s="35"/>
      <c r="C254" s="40">
        <v>1</v>
      </c>
      <c r="D254" s="40">
        <v>1.9</v>
      </c>
      <c r="E254" s="40">
        <v>1.9</v>
      </c>
      <c r="F254" s="40">
        <v>0.45</v>
      </c>
      <c r="G254" s="40"/>
      <c r="H254" s="40"/>
      <c r="I254" s="40">
        <f t="shared" si="31"/>
        <v>1.6244999999999998</v>
      </c>
      <c r="J254" s="40">
        <f t="shared" si="32"/>
        <v>1.6244999999999998</v>
      </c>
      <c r="K254" s="40">
        <f t="shared" si="33"/>
        <v>1.6244999999999998</v>
      </c>
      <c r="L254" s="40"/>
      <c r="M254" s="59"/>
      <c r="N254" s="97"/>
      <c r="O254" s="32"/>
      <c r="P254" s="85"/>
      <c r="Q254" s="126"/>
      <c r="R254" s="126"/>
      <c r="S254" s="126"/>
      <c r="T254" s="85"/>
      <c r="U254" s="85"/>
      <c r="V254" s="85"/>
      <c r="W254" s="85"/>
    </row>
    <row r="255" spans="1:23" s="33" customFormat="1" ht="13.8" x14ac:dyDescent="0.25">
      <c r="A255" s="34"/>
      <c r="B255" s="35"/>
      <c r="C255" s="40">
        <v>1</v>
      </c>
      <c r="D255" s="40">
        <v>0.8</v>
      </c>
      <c r="E255" s="40">
        <v>0.8</v>
      </c>
      <c r="F255" s="40">
        <v>0.25</v>
      </c>
      <c r="G255" s="40"/>
      <c r="H255" s="40"/>
      <c r="I255" s="40">
        <f t="shared" si="31"/>
        <v>0.16000000000000003</v>
      </c>
      <c r="J255" s="40">
        <f t="shared" si="32"/>
        <v>0.16000000000000003</v>
      </c>
      <c r="K255" s="40">
        <f t="shared" si="33"/>
        <v>0.16000000000000003</v>
      </c>
      <c r="L255" s="40"/>
      <c r="M255" s="59"/>
      <c r="N255" s="97"/>
      <c r="O255" s="32"/>
      <c r="P255" s="85"/>
      <c r="Q255" s="126"/>
      <c r="R255" s="126"/>
      <c r="S255" s="126"/>
      <c r="T255" s="85"/>
      <c r="U255" s="85"/>
      <c r="V255" s="85"/>
      <c r="W255" s="85"/>
    </row>
    <row r="256" spans="1:23" s="33" customFormat="1" ht="13.8" x14ac:dyDescent="0.25">
      <c r="A256" s="34"/>
      <c r="B256" s="35"/>
      <c r="C256" s="40">
        <v>1</v>
      </c>
      <c r="D256" s="40">
        <v>1.95</v>
      </c>
      <c r="E256" s="40">
        <v>1.95</v>
      </c>
      <c r="F256" s="40">
        <v>0.5</v>
      </c>
      <c r="G256" s="40"/>
      <c r="H256" s="40"/>
      <c r="I256" s="40">
        <f t="shared" si="31"/>
        <v>1.9012499999999999</v>
      </c>
      <c r="J256" s="40">
        <f t="shared" si="32"/>
        <v>1.9012499999999999</v>
      </c>
      <c r="K256" s="40">
        <f t="shared" si="33"/>
        <v>1.9012499999999999</v>
      </c>
      <c r="L256" s="40"/>
      <c r="M256" s="59"/>
      <c r="N256" s="97"/>
      <c r="O256" s="32"/>
      <c r="P256" s="85"/>
      <c r="Q256" s="126"/>
      <c r="R256" s="126"/>
      <c r="S256" s="126"/>
      <c r="T256" s="85"/>
      <c r="U256" s="85"/>
      <c r="V256" s="85"/>
      <c r="W256" s="85"/>
    </row>
    <row r="257" spans="1:23" s="33" customFormat="1" ht="13.8" x14ac:dyDescent="0.25">
      <c r="A257" s="34"/>
      <c r="B257" s="35"/>
      <c r="C257" s="40">
        <v>1</v>
      </c>
      <c r="D257" s="40">
        <v>3.4</v>
      </c>
      <c r="E257" s="40">
        <v>2.8</v>
      </c>
      <c r="F257" s="40">
        <v>0.7</v>
      </c>
      <c r="G257" s="40"/>
      <c r="H257" s="40"/>
      <c r="I257" s="40">
        <f t="shared" si="31"/>
        <v>6.6639999999999988</v>
      </c>
      <c r="J257" s="40">
        <f t="shared" si="32"/>
        <v>6.6639999999999988</v>
      </c>
      <c r="K257" s="40">
        <f t="shared" si="33"/>
        <v>6.6639999999999988</v>
      </c>
      <c r="L257" s="40"/>
      <c r="M257" s="59"/>
      <c r="N257" s="97"/>
      <c r="O257" s="32"/>
      <c r="P257" s="85"/>
      <c r="Q257" s="126"/>
      <c r="R257" s="126"/>
      <c r="S257" s="126"/>
      <c r="T257" s="85"/>
      <c r="U257" s="85"/>
      <c r="V257" s="85"/>
      <c r="W257" s="85"/>
    </row>
    <row r="258" spans="1:23" s="33" customFormat="1" ht="13.8" x14ac:dyDescent="0.25">
      <c r="A258" s="34"/>
      <c r="B258" s="58"/>
      <c r="C258" s="59"/>
      <c r="D258" s="40"/>
      <c r="E258" s="40"/>
      <c r="F258" s="40"/>
      <c r="G258" s="40"/>
      <c r="H258" s="40"/>
      <c r="I258" s="40"/>
      <c r="J258" s="40"/>
      <c r="K258" s="40"/>
      <c r="L258" s="40"/>
      <c r="M258" s="59"/>
      <c r="N258" s="97"/>
      <c r="O258" s="32"/>
      <c r="P258" s="85"/>
      <c r="Q258" s="126"/>
      <c r="R258" s="126"/>
      <c r="S258" s="126"/>
      <c r="T258" s="85"/>
      <c r="U258" s="85"/>
      <c r="V258" s="85"/>
      <c r="W258" s="85"/>
    </row>
    <row r="259" spans="1:23" s="33" customFormat="1" ht="13.8" x14ac:dyDescent="0.25">
      <c r="A259" s="34"/>
      <c r="B259" s="61" t="s">
        <v>104</v>
      </c>
      <c r="C259" s="40"/>
      <c r="D259" s="40"/>
      <c r="E259" s="40"/>
      <c r="F259" s="40"/>
      <c r="G259" s="40"/>
      <c r="H259" s="40"/>
      <c r="I259" s="40"/>
      <c r="J259" s="40"/>
      <c r="K259" s="40"/>
      <c r="L259" s="167"/>
      <c r="M259" s="59"/>
      <c r="N259" s="97"/>
      <c r="O259" s="32"/>
      <c r="P259" s="85"/>
      <c r="Q259" s="126"/>
      <c r="R259" s="126"/>
      <c r="S259" s="126"/>
      <c r="T259" s="85"/>
      <c r="U259" s="85"/>
      <c r="V259" s="85"/>
      <c r="W259" s="85"/>
    </row>
    <row r="260" spans="1:23" s="33" customFormat="1" ht="13.8" x14ac:dyDescent="0.25">
      <c r="A260" s="34"/>
      <c r="B260" s="39"/>
      <c r="C260" s="40">
        <v>1</v>
      </c>
      <c r="D260" s="40">
        <v>14.1</v>
      </c>
      <c r="E260" s="40">
        <v>0.2</v>
      </c>
      <c r="F260" s="40">
        <v>0.3</v>
      </c>
      <c r="G260" s="40"/>
      <c r="H260" s="40"/>
      <c r="I260" s="40">
        <f t="shared" si="31"/>
        <v>0.84599999999999997</v>
      </c>
      <c r="J260" s="40">
        <f t="shared" si="32"/>
        <v>0.84599999999999997</v>
      </c>
      <c r="K260" s="40">
        <f t="shared" si="33"/>
        <v>0.84599999999999997</v>
      </c>
      <c r="L260" s="40"/>
      <c r="M260" s="59"/>
      <c r="N260" s="97"/>
      <c r="O260" s="32"/>
      <c r="P260" s="85"/>
      <c r="Q260" s="126"/>
      <c r="R260" s="126"/>
      <c r="S260" s="126"/>
      <c r="T260" s="85"/>
      <c r="U260" s="85"/>
      <c r="V260" s="85"/>
      <c r="W260" s="85"/>
    </row>
    <row r="261" spans="1:23" s="33" customFormat="1" ht="13.8" x14ac:dyDescent="0.25">
      <c r="A261" s="34"/>
      <c r="B261" s="39"/>
      <c r="C261" s="40">
        <v>1</v>
      </c>
      <c r="D261" s="40">
        <v>7.4</v>
      </c>
      <c r="E261" s="40">
        <v>0.2</v>
      </c>
      <c r="F261" s="40">
        <v>0.3</v>
      </c>
      <c r="G261" s="40"/>
      <c r="H261" s="40"/>
      <c r="I261" s="40">
        <f t="shared" si="31"/>
        <v>0.44400000000000001</v>
      </c>
      <c r="J261" s="40">
        <f t="shared" si="32"/>
        <v>0.44400000000000001</v>
      </c>
      <c r="K261" s="40">
        <f t="shared" si="33"/>
        <v>0.44400000000000001</v>
      </c>
      <c r="L261" s="40"/>
      <c r="M261" s="59"/>
      <c r="N261" s="97"/>
      <c r="O261" s="32"/>
      <c r="P261" s="85"/>
      <c r="Q261" s="126"/>
      <c r="R261" s="126"/>
      <c r="S261" s="126"/>
      <c r="T261" s="85"/>
      <c r="U261" s="85"/>
      <c r="V261" s="85"/>
      <c r="W261" s="85"/>
    </row>
    <row r="262" spans="1:23" s="33" customFormat="1" ht="13.8" x14ac:dyDescent="0.25">
      <c r="A262" s="34"/>
      <c r="B262" s="39"/>
      <c r="C262" s="40">
        <v>1</v>
      </c>
      <c r="D262" s="40">
        <v>8.1999999999999993</v>
      </c>
      <c r="E262" s="40">
        <v>0.2</v>
      </c>
      <c r="F262" s="40">
        <v>0.3</v>
      </c>
      <c r="G262" s="40"/>
      <c r="H262" s="40"/>
      <c r="I262" s="40">
        <f t="shared" si="31"/>
        <v>0.49199999999999994</v>
      </c>
      <c r="J262" s="40">
        <f t="shared" si="32"/>
        <v>0.49199999999999994</v>
      </c>
      <c r="K262" s="40">
        <f t="shared" si="33"/>
        <v>0.49199999999999994</v>
      </c>
      <c r="L262" s="40"/>
      <c r="M262" s="59"/>
      <c r="N262" s="97"/>
      <c r="O262" s="32"/>
      <c r="P262" s="85"/>
      <c r="Q262" s="126"/>
      <c r="R262" s="126"/>
      <c r="S262" s="126"/>
      <c r="T262" s="85"/>
      <c r="U262" s="85"/>
      <c r="V262" s="85"/>
      <c r="W262" s="85"/>
    </row>
    <row r="263" spans="1:23" s="33" customFormat="1" ht="13.8" x14ac:dyDescent="0.25">
      <c r="A263" s="34"/>
      <c r="B263" s="39"/>
      <c r="C263" s="40">
        <v>1</v>
      </c>
      <c r="D263" s="40">
        <v>14.9</v>
      </c>
      <c r="E263" s="40">
        <v>0.2</v>
      </c>
      <c r="F263" s="40">
        <v>0.3</v>
      </c>
      <c r="G263" s="40"/>
      <c r="H263" s="40"/>
      <c r="I263" s="40">
        <f t="shared" si="31"/>
        <v>0.89400000000000002</v>
      </c>
      <c r="J263" s="40">
        <f t="shared" si="32"/>
        <v>0.89400000000000002</v>
      </c>
      <c r="K263" s="40">
        <f t="shared" si="33"/>
        <v>0.89400000000000002</v>
      </c>
      <c r="L263" s="40"/>
      <c r="M263" s="59"/>
      <c r="N263" s="97"/>
      <c r="O263" s="32"/>
      <c r="P263" s="85"/>
      <c r="Q263" s="126"/>
      <c r="R263" s="126"/>
      <c r="S263" s="126"/>
      <c r="T263" s="85"/>
      <c r="U263" s="85"/>
      <c r="V263" s="85"/>
      <c r="W263" s="85"/>
    </row>
    <row r="264" spans="1:23" s="33" customFormat="1" ht="13.8" x14ac:dyDescent="0.25">
      <c r="A264" s="34"/>
      <c r="B264" s="39"/>
      <c r="C264" s="40">
        <v>1</v>
      </c>
      <c r="D264" s="40">
        <v>4.0999999999999996</v>
      </c>
      <c r="E264" s="40">
        <v>0.2</v>
      </c>
      <c r="F264" s="40">
        <v>0.3</v>
      </c>
      <c r="G264" s="40"/>
      <c r="H264" s="40"/>
      <c r="I264" s="40">
        <f t="shared" si="31"/>
        <v>0.24599999999999997</v>
      </c>
      <c r="J264" s="40">
        <f t="shared" si="32"/>
        <v>0.24599999999999997</v>
      </c>
      <c r="K264" s="40">
        <f t="shared" si="33"/>
        <v>0.24599999999999997</v>
      </c>
      <c r="L264" s="40"/>
      <c r="M264" s="59"/>
      <c r="N264" s="97"/>
      <c r="O264" s="32"/>
      <c r="P264" s="85"/>
      <c r="Q264" s="126"/>
      <c r="R264" s="126"/>
      <c r="S264" s="126"/>
      <c r="T264" s="85"/>
      <c r="U264" s="85"/>
      <c r="V264" s="85"/>
      <c r="W264" s="85"/>
    </row>
    <row r="265" spans="1:23" s="33" customFormat="1" ht="13.8" x14ac:dyDescent="0.25">
      <c r="A265" s="34"/>
      <c r="B265" s="39"/>
      <c r="C265" s="40">
        <v>1</v>
      </c>
      <c r="D265" s="40">
        <v>8</v>
      </c>
      <c r="E265" s="40">
        <v>0.2</v>
      </c>
      <c r="F265" s="40">
        <v>0.3</v>
      </c>
      <c r="G265" s="40"/>
      <c r="H265" s="40"/>
      <c r="I265" s="40">
        <f t="shared" si="31"/>
        <v>0.48</v>
      </c>
      <c r="J265" s="40">
        <f t="shared" si="32"/>
        <v>0.48</v>
      </c>
      <c r="K265" s="40">
        <f t="shared" si="33"/>
        <v>0.48</v>
      </c>
      <c r="L265" s="40"/>
      <c r="M265" s="59"/>
      <c r="N265" s="97"/>
      <c r="O265" s="32"/>
      <c r="P265" s="85"/>
      <c r="Q265" s="126"/>
      <c r="R265" s="126"/>
      <c r="S265" s="126"/>
      <c r="T265" s="85"/>
      <c r="U265" s="85"/>
      <c r="V265" s="85"/>
      <c r="W265" s="85"/>
    </row>
    <row r="266" spans="1:23" s="33" customFormat="1" ht="13.8" x14ac:dyDescent="0.25">
      <c r="A266" s="34"/>
      <c r="B266" s="39"/>
      <c r="C266" s="40">
        <v>1</v>
      </c>
      <c r="D266" s="40">
        <v>15.6</v>
      </c>
      <c r="E266" s="40">
        <v>0.2</v>
      </c>
      <c r="F266" s="40">
        <v>0.3</v>
      </c>
      <c r="G266" s="40"/>
      <c r="H266" s="40"/>
      <c r="I266" s="40">
        <f t="shared" si="31"/>
        <v>0.93599999999999994</v>
      </c>
      <c r="J266" s="40">
        <f t="shared" si="32"/>
        <v>0.93599999999999994</v>
      </c>
      <c r="K266" s="40">
        <f t="shared" si="33"/>
        <v>0.93599999999999994</v>
      </c>
      <c r="L266" s="40"/>
      <c r="M266" s="59"/>
      <c r="N266" s="97"/>
      <c r="O266" s="32"/>
      <c r="P266" s="85"/>
      <c r="Q266" s="126"/>
      <c r="R266" s="126"/>
      <c r="S266" s="126"/>
      <c r="T266" s="85"/>
      <c r="U266" s="85"/>
      <c r="V266" s="85"/>
      <c r="W266" s="85"/>
    </row>
    <row r="267" spans="1:23" s="33" customFormat="1" ht="13.8" x14ac:dyDescent="0.25">
      <c r="A267" s="34"/>
      <c r="B267" s="39"/>
      <c r="C267" s="40">
        <v>1</v>
      </c>
      <c r="D267" s="40">
        <v>7</v>
      </c>
      <c r="E267" s="40">
        <v>0.2</v>
      </c>
      <c r="F267" s="40">
        <v>0.3</v>
      </c>
      <c r="G267" s="40"/>
      <c r="H267" s="40"/>
      <c r="I267" s="40">
        <f t="shared" si="31"/>
        <v>0.42</v>
      </c>
      <c r="J267" s="40">
        <f t="shared" si="32"/>
        <v>0.42</v>
      </c>
      <c r="K267" s="40">
        <f t="shared" si="33"/>
        <v>0.42</v>
      </c>
      <c r="L267" s="40"/>
      <c r="M267" s="59"/>
      <c r="N267" s="97"/>
      <c r="O267" s="32"/>
      <c r="P267" s="85"/>
      <c r="Q267" s="126"/>
      <c r="R267" s="126"/>
      <c r="S267" s="126"/>
      <c r="T267" s="85"/>
      <c r="U267" s="85"/>
      <c r="V267" s="85"/>
      <c r="W267" s="85"/>
    </row>
    <row r="268" spans="1:23" s="33" customFormat="1" ht="13.8" x14ac:dyDescent="0.25">
      <c r="A268" s="34"/>
      <c r="B268" s="39"/>
      <c r="C268" s="40">
        <v>1</v>
      </c>
      <c r="D268" s="40">
        <v>9.1</v>
      </c>
      <c r="E268" s="40">
        <v>0.2</v>
      </c>
      <c r="F268" s="40">
        <v>0.3</v>
      </c>
      <c r="G268" s="40"/>
      <c r="H268" s="40"/>
      <c r="I268" s="40">
        <f t="shared" si="31"/>
        <v>0.54599999999999993</v>
      </c>
      <c r="J268" s="40">
        <f t="shared" si="32"/>
        <v>0.54599999999999993</v>
      </c>
      <c r="K268" s="40">
        <f t="shared" si="33"/>
        <v>0.54599999999999993</v>
      </c>
      <c r="L268" s="40"/>
      <c r="M268" s="59"/>
      <c r="N268" s="97"/>
      <c r="O268" s="32"/>
      <c r="P268" s="85"/>
      <c r="Q268" s="126"/>
      <c r="R268" s="126"/>
      <c r="S268" s="126"/>
      <c r="T268" s="85"/>
      <c r="U268" s="85"/>
      <c r="V268" s="85"/>
      <c r="W268" s="85"/>
    </row>
    <row r="269" spans="1:23" s="33" customFormat="1" ht="13.8" x14ac:dyDescent="0.25">
      <c r="A269" s="34"/>
      <c r="B269" s="39"/>
      <c r="C269" s="40">
        <v>1</v>
      </c>
      <c r="D269" s="40">
        <v>5.8</v>
      </c>
      <c r="E269" s="40">
        <v>0.2</v>
      </c>
      <c r="F269" s="40">
        <v>0.3</v>
      </c>
      <c r="G269" s="40"/>
      <c r="H269" s="40"/>
      <c r="I269" s="40">
        <f t="shared" si="31"/>
        <v>0.34799999999999998</v>
      </c>
      <c r="J269" s="40">
        <f t="shared" si="32"/>
        <v>0.34799999999999998</v>
      </c>
      <c r="K269" s="40">
        <f t="shared" si="33"/>
        <v>0.34799999999999998</v>
      </c>
      <c r="L269" s="40"/>
      <c r="M269" s="59"/>
      <c r="N269" s="97"/>
      <c r="O269" s="32"/>
      <c r="P269" s="85"/>
      <c r="Q269" s="126"/>
      <c r="R269" s="126"/>
      <c r="S269" s="126"/>
      <c r="T269" s="85"/>
      <c r="U269" s="85"/>
      <c r="V269" s="85"/>
      <c r="W269" s="85"/>
    </row>
    <row r="270" spans="1:23" s="33" customFormat="1" ht="13.8" x14ac:dyDescent="0.25">
      <c r="A270" s="34"/>
      <c r="B270" s="39"/>
      <c r="C270" s="40">
        <v>1</v>
      </c>
      <c r="D270" s="40">
        <v>14.7</v>
      </c>
      <c r="E270" s="40">
        <v>0.2</v>
      </c>
      <c r="F270" s="40">
        <v>0.3</v>
      </c>
      <c r="G270" s="40"/>
      <c r="H270" s="40"/>
      <c r="I270" s="40">
        <f t="shared" si="31"/>
        <v>0.8819999999999999</v>
      </c>
      <c r="J270" s="40">
        <f t="shared" si="32"/>
        <v>0.8819999999999999</v>
      </c>
      <c r="K270" s="40">
        <f t="shared" si="33"/>
        <v>0.8819999999999999</v>
      </c>
      <c r="L270" s="40"/>
      <c r="M270" s="59"/>
      <c r="N270" s="97"/>
      <c r="O270" s="32"/>
      <c r="P270" s="85"/>
      <c r="Q270" s="126"/>
      <c r="R270" s="126"/>
      <c r="S270" s="126"/>
      <c r="T270" s="85"/>
      <c r="U270" s="85"/>
      <c r="V270" s="85"/>
      <c r="W270" s="85"/>
    </row>
    <row r="271" spans="1:23" s="33" customFormat="1" ht="13.8" x14ac:dyDescent="0.25">
      <c r="A271" s="34"/>
      <c r="B271" s="39"/>
      <c r="C271" s="40">
        <v>1</v>
      </c>
      <c r="D271" s="40">
        <v>2.9</v>
      </c>
      <c r="E271" s="40">
        <v>0.2</v>
      </c>
      <c r="F271" s="40">
        <v>0.3</v>
      </c>
      <c r="G271" s="40"/>
      <c r="H271" s="40"/>
      <c r="I271" s="40">
        <f t="shared" si="31"/>
        <v>0.17399999999999999</v>
      </c>
      <c r="J271" s="40">
        <f t="shared" si="32"/>
        <v>0.17399999999999999</v>
      </c>
      <c r="K271" s="40">
        <f t="shared" si="33"/>
        <v>0.17399999999999999</v>
      </c>
      <c r="L271" s="40"/>
      <c r="M271" s="59"/>
      <c r="N271" s="97"/>
      <c r="O271" s="32"/>
      <c r="P271" s="85"/>
      <c r="Q271" s="126"/>
      <c r="R271" s="126"/>
      <c r="S271" s="126"/>
      <c r="T271" s="85"/>
      <c r="U271" s="85"/>
      <c r="V271" s="85"/>
      <c r="W271" s="85"/>
    </row>
    <row r="272" spans="1:23" s="33" customFormat="1" ht="13.8" x14ac:dyDescent="0.25">
      <c r="A272" s="34"/>
      <c r="B272" s="39"/>
      <c r="C272" s="40">
        <v>1</v>
      </c>
      <c r="D272" s="40">
        <v>14.7</v>
      </c>
      <c r="E272" s="40">
        <v>0.2</v>
      </c>
      <c r="F272" s="40">
        <v>0.3</v>
      </c>
      <c r="G272" s="40"/>
      <c r="H272" s="40"/>
      <c r="I272" s="40">
        <f t="shared" si="31"/>
        <v>0.8819999999999999</v>
      </c>
      <c r="J272" s="40">
        <f t="shared" si="32"/>
        <v>0.8819999999999999</v>
      </c>
      <c r="K272" s="40">
        <f t="shared" si="33"/>
        <v>0.8819999999999999</v>
      </c>
      <c r="L272" s="40"/>
      <c r="M272" s="59"/>
      <c r="N272" s="97"/>
      <c r="O272" s="32"/>
      <c r="P272" s="85"/>
      <c r="Q272" s="126"/>
      <c r="R272" s="126"/>
      <c r="S272" s="126"/>
      <c r="T272" s="85"/>
      <c r="U272" s="85"/>
      <c r="V272" s="85"/>
      <c r="W272" s="85"/>
    </row>
    <row r="273" spans="1:23" s="33" customFormat="1" ht="13.8" x14ac:dyDescent="0.25">
      <c r="A273" s="34"/>
      <c r="B273" s="39"/>
      <c r="C273" s="40">
        <v>1</v>
      </c>
      <c r="D273" s="40">
        <v>7.9</v>
      </c>
      <c r="E273" s="40">
        <v>0.2</v>
      </c>
      <c r="F273" s="40">
        <v>0.3</v>
      </c>
      <c r="G273" s="40"/>
      <c r="H273" s="40"/>
      <c r="I273" s="40">
        <f t="shared" si="31"/>
        <v>0.47399999999999998</v>
      </c>
      <c r="J273" s="40">
        <f t="shared" si="32"/>
        <v>0.47399999999999998</v>
      </c>
      <c r="K273" s="40">
        <f t="shared" si="33"/>
        <v>0.47399999999999998</v>
      </c>
      <c r="L273" s="40"/>
      <c r="M273" s="59"/>
      <c r="N273" s="97"/>
      <c r="O273" s="32"/>
      <c r="P273" s="85"/>
      <c r="Q273" s="126"/>
      <c r="R273" s="126"/>
      <c r="S273" s="126"/>
      <c r="T273" s="85"/>
      <c r="U273" s="85"/>
      <c r="V273" s="85"/>
      <c r="W273" s="85"/>
    </row>
    <row r="274" spans="1:23" s="33" customFormat="1" ht="13.8" x14ac:dyDescent="0.25">
      <c r="A274" s="34"/>
      <c r="B274" s="39"/>
      <c r="C274" s="40">
        <v>1</v>
      </c>
      <c r="D274" s="40">
        <v>1.3</v>
      </c>
      <c r="E274" s="40">
        <v>0.2</v>
      </c>
      <c r="F274" s="40">
        <v>0.3</v>
      </c>
      <c r="G274" s="40"/>
      <c r="H274" s="40"/>
      <c r="I274" s="40">
        <f t="shared" si="31"/>
        <v>7.8E-2</v>
      </c>
      <c r="J274" s="40">
        <f t="shared" si="32"/>
        <v>7.8E-2</v>
      </c>
      <c r="K274" s="40">
        <f t="shared" si="33"/>
        <v>7.8E-2</v>
      </c>
      <c r="L274" s="40"/>
      <c r="M274" s="59"/>
      <c r="N274" s="97"/>
      <c r="O274" s="32"/>
      <c r="P274" s="85"/>
      <c r="Q274" s="126"/>
      <c r="R274" s="126"/>
      <c r="S274" s="126"/>
      <c r="T274" s="85"/>
      <c r="U274" s="85"/>
      <c r="V274" s="85"/>
      <c r="W274" s="85"/>
    </row>
    <row r="275" spans="1:23" s="33" customFormat="1" ht="13.8" x14ac:dyDescent="0.25">
      <c r="A275" s="34"/>
      <c r="B275" s="39"/>
      <c r="C275" s="40">
        <v>1</v>
      </c>
      <c r="D275" s="40">
        <v>6.9</v>
      </c>
      <c r="E275" s="40">
        <v>0.2</v>
      </c>
      <c r="F275" s="40">
        <v>0.3</v>
      </c>
      <c r="G275" s="40"/>
      <c r="H275" s="40"/>
      <c r="I275" s="40">
        <f t="shared" si="31"/>
        <v>0.41399999999999998</v>
      </c>
      <c r="J275" s="40">
        <f t="shared" si="32"/>
        <v>0.41399999999999998</v>
      </c>
      <c r="K275" s="40">
        <f t="shared" si="33"/>
        <v>0.41399999999999998</v>
      </c>
      <c r="L275" s="40"/>
      <c r="M275" s="59"/>
      <c r="N275" s="97"/>
      <c r="O275" s="32"/>
      <c r="P275" s="85"/>
      <c r="Q275" s="126"/>
      <c r="R275" s="126"/>
      <c r="S275" s="126"/>
      <c r="T275" s="85"/>
      <c r="U275" s="85"/>
      <c r="V275" s="85"/>
      <c r="W275" s="85"/>
    </row>
    <row r="276" spans="1:23" s="33" customFormat="1" ht="13.8" x14ac:dyDescent="0.25">
      <c r="A276" s="34"/>
      <c r="B276" s="39"/>
      <c r="C276" s="40">
        <v>1</v>
      </c>
      <c r="D276" s="40">
        <v>14.5</v>
      </c>
      <c r="E276" s="40">
        <v>0.2</v>
      </c>
      <c r="F276" s="40">
        <v>0.3</v>
      </c>
      <c r="G276" s="40"/>
      <c r="H276" s="40"/>
      <c r="I276" s="40">
        <f t="shared" si="31"/>
        <v>0.87</v>
      </c>
      <c r="J276" s="40">
        <f t="shared" si="32"/>
        <v>0.87</v>
      </c>
      <c r="K276" s="40">
        <f t="shared" si="33"/>
        <v>0.87</v>
      </c>
      <c r="L276" s="40"/>
      <c r="M276" s="59"/>
      <c r="N276" s="97"/>
      <c r="O276" s="32"/>
      <c r="P276" s="85"/>
      <c r="Q276" s="126"/>
      <c r="R276" s="126"/>
      <c r="S276" s="126"/>
      <c r="T276" s="85"/>
      <c r="U276" s="85"/>
      <c r="V276" s="85"/>
      <c r="W276" s="85"/>
    </row>
    <row r="277" spans="1:23" s="33" customFormat="1" ht="13.8" x14ac:dyDescent="0.25">
      <c r="A277" s="34"/>
      <c r="B277" s="35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59"/>
      <c r="N277" s="97"/>
      <c r="O277" s="32"/>
      <c r="P277" s="85"/>
      <c r="Q277" s="126"/>
      <c r="R277" s="126"/>
      <c r="S277" s="126"/>
      <c r="T277" s="85"/>
      <c r="U277" s="85"/>
      <c r="V277" s="85"/>
      <c r="W277" s="85"/>
    </row>
    <row r="278" spans="1:23" s="33" customFormat="1" ht="13.8" x14ac:dyDescent="0.25">
      <c r="A278" s="34"/>
      <c r="B278" s="61" t="s">
        <v>196</v>
      </c>
      <c r="C278" s="40"/>
      <c r="D278" s="40"/>
      <c r="E278" s="40"/>
      <c r="F278" s="40"/>
      <c r="G278" s="40"/>
      <c r="H278" s="40"/>
      <c r="I278" s="40"/>
      <c r="J278" s="40"/>
      <c r="K278" s="40"/>
      <c r="L278" s="106"/>
      <c r="M278" s="59"/>
      <c r="N278" s="97"/>
      <c r="O278" s="32"/>
      <c r="P278" s="85"/>
      <c r="Q278" s="126"/>
      <c r="R278" s="126"/>
      <c r="S278" s="126"/>
      <c r="T278" s="85"/>
      <c r="U278" s="85"/>
      <c r="V278" s="85"/>
      <c r="W278" s="85"/>
    </row>
    <row r="279" spans="1:23" s="33" customFormat="1" ht="13.8" x14ac:dyDescent="0.25">
      <c r="A279" s="34"/>
      <c r="B279" s="61"/>
      <c r="C279" s="40">
        <v>3</v>
      </c>
      <c r="D279" s="40">
        <v>0.2</v>
      </c>
      <c r="E279" s="40">
        <v>0.2</v>
      </c>
      <c r="F279" s="40">
        <v>1.3</v>
      </c>
      <c r="G279" s="40"/>
      <c r="H279" s="40"/>
      <c r="I279" s="40">
        <f t="shared" si="31"/>
        <v>5.2000000000000005E-2</v>
      </c>
      <c r="J279" s="40">
        <f t="shared" si="32"/>
        <v>5.2000000000000005E-2</v>
      </c>
      <c r="K279" s="40">
        <f t="shared" si="33"/>
        <v>0.15600000000000003</v>
      </c>
      <c r="L279" s="106"/>
      <c r="M279" s="59"/>
      <c r="N279" s="97"/>
      <c r="O279" s="32"/>
      <c r="P279" s="85"/>
      <c r="Q279" s="126"/>
      <c r="R279" s="126"/>
      <c r="S279" s="126"/>
      <c r="T279" s="85"/>
      <c r="U279" s="85"/>
      <c r="V279" s="85"/>
      <c r="W279" s="85"/>
    </row>
    <row r="280" spans="1:23" s="33" customFormat="1" ht="13.8" x14ac:dyDescent="0.25">
      <c r="A280" s="34"/>
      <c r="B280" s="35"/>
      <c r="C280" s="40">
        <v>15</v>
      </c>
      <c r="D280" s="40">
        <v>0.2</v>
      </c>
      <c r="E280" s="40">
        <v>0.25</v>
      </c>
      <c r="F280" s="40">
        <v>1.3</v>
      </c>
      <c r="G280" s="40"/>
      <c r="H280" s="40"/>
      <c r="I280" s="40">
        <f t="shared" si="31"/>
        <v>6.5000000000000002E-2</v>
      </c>
      <c r="J280" s="40">
        <f t="shared" si="32"/>
        <v>6.5000000000000002E-2</v>
      </c>
      <c r="K280" s="40">
        <f t="shared" si="33"/>
        <v>0.97500000000000009</v>
      </c>
      <c r="L280" s="40"/>
      <c r="M280" s="59"/>
      <c r="N280" s="97"/>
      <c r="O280" s="32"/>
      <c r="P280" s="85"/>
      <c r="Q280" s="126"/>
      <c r="R280" s="126"/>
      <c r="S280" s="126"/>
      <c r="T280" s="85"/>
      <c r="U280" s="85"/>
      <c r="V280" s="85"/>
      <c r="W280" s="85"/>
    </row>
    <row r="281" spans="1:23" s="33" customFormat="1" ht="13.8" x14ac:dyDescent="0.25">
      <c r="A281" s="34"/>
      <c r="B281" s="35"/>
      <c r="C281" s="40">
        <v>2</v>
      </c>
      <c r="D281" s="40">
        <v>0.2</v>
      </c>
      <c r="E281" s="40">
        <v>0.3</v>
      </c>
      <c r="F281" s="40">
        <v>1.3</v>
      </c>
      <c r="G281" s="40"/>
      <c r="H281" s="40"/>
      <c r="I281" s="40">
        <f t="shared" si="31"/>
        <v>7.8000000000000014E-2</v>
      </c>
      <c r="J281" s="40">
        <f t="shared" si="32"/>
        <v>7.8000000000000014E-2</v>
      </c>
      <c r="K281" s="40">
        <f t="shared" si="33"/>
        <v>0.15600000000000003</v>
      </c>
      <c r="L281" s="40"/>
      <c r="M281" s="59"/>
      <c r="N281" s="97"/>
      <c r="O281" s="32"/>
      <c r="P281" s="85"/>
      <c r="Q281" s="126"/>
      <c r="R281" s="126"/>
      <c r="S281" s="126"/>
      <c r="T281" s="85"/>
      <c r="U281" s="85"/>
      <c r="V281" s="85"/>
      <c r="W281" s="85"/>
    </row>
    <row r="282" spans="1:23" s="33" customFormat="1" ht="13.8" x14ac:dyDescent="0.25">
      <c r="A282" s="34"/>
      <c r="B282" s="35"/>
      <c r="C282" s="40">
        <v>2</v>
      </c>
      <c r="D282" s="40">
        <v>0.2</v>
      </c>
      <c r="E282" s="40">
        <v>0.35</v>
      </c>
      <c r="F282" s="40">
        <v>1.3</v>
      </c>
      <c r="G282" s="40"/>
      <c r="H282" s="40"/>
      <c r="I282" s="40">
        <f t="shared" si="31"/>
        <v>9.0999999999999998E-2</v>
      </c>
      <c r="J282" s="40">
        <f t="shared" si="32"/>
        <v>9.0999999999999998E-2</v>
      </c>
      <c r="K282" s="40">
        <f t="shared" si="33"/>
        <v>0.182</v>
      </c>
      <c r="L282" s="40"/>
      <c r="M282" s="59"/>
      <c r="N282" s="97"/>
      <c r="O282" s="32"/>
      <c r="P282" s="85"/>
      <c r="Q282" s="126"/>
      <c r="R282" s="126"/>
      <c r="S282" s="126"/>
      <c r="T282" s="85"/>
      <c r="U282" s="85"/>
      <c r="V282" s="85"/>
      <c r="W282" s="85"/>
    </row>
    <row r="283" spans="1:23" s="33" customFormat="1" ht="13.8" x14ac:dyDescent="0.25">
      <c r="A283" s="34"/>
      <c r="B283" s="35"/>
      <c r="C283" s="40">
        <v>2</v>
      </c>
      <c r="D283" s="40">
        <v>0.2</v>
      </c>
      <c r="E283" s="40">
        <v>0.4</v>
      </c>
      <c r="F283" s="40">
        <v>1.3</v>
      </c>
      <c r="G283" s="40"/>
      <c r="H283" s="40"/>
      <c r="I283" s="40">
        <f t="shared" si="31"/>
        <v>0.10400000000000001</v>
      </c>
      <c r="J283" s="40">
        <f t="shared" si="32"/>
        <v>0.10400000000000001</v>
      </c>
      <c r="K283" s="40">
        <f t="shared" si="33"/>
        <v>0.20800000000000002</v>
      </c>
      <c r="L283" s="40"/>
      <c r="M283" s="59"/>
      <c r="N283" s="97"/>
      <c r="O283" s="32"/>
      <c r="P283" s="85"/>
      <c r="Q283" s="126"/>
      <c r="R283" s="126"/>
      <c r="S283" s="126"/>
      <c r="T283" s="85"/>
      <c r="U283" s="85"/>
      <c r="V283" s="85"/>
      <c r="W283" s="85"/>
    </row>
    <row r="284" spans="1:23" s="33" customFormat="1" ht="13.8" x14ac:dyDescent="0.25">
      <c r="A284" s="34"/>
      <c r="B284" s="35"/>
      <c r="C284" s="40">
        <v>1</v>
      </c>
      <c r="D284" s="40">
        <v>0.2</v>
      </c>
      <c r="E284" s="40">
        <v>0.45</v>
      </c>
      <c r="F284" s="40">
        <v>1.3</v>
      </c>
      <c r="G284" s="40"/>
      <c r="H284" s="40"/>
      <c r="I284" s="40">
        <f t="shared" si="31"/>
        <v>0.11700000000000002</v>
      </c>
      <c r="J284" s="40">
        <f t="shared" si="32"/>
        <v>0.11700000000000002</v>
      </c>
      <c r="K284" s="40">
        <f t="shared" si="33"/>
        <v>0.11700000000000002</v>
      </c>
      <c r="L284" s="40"/>
      <c r="M284" s="59"/>
      <c r="N284" s="97"/>
      <c r="O284" s="32"/>
      <c r="P284" s="85"/>
      <c r="Q284" s="126"/>
      <c r="R284" s="126"/>
      <c r="S284" s="126"/>
      <c r="T284" s="85"/>
      <c r="U284" s="85"/>
      <c r="V284" s="85"/>
      <c r="W284" s="85"/>
    </row>
    <row r="285" spans="1:23" s="33" customFormat="1" ht="13.8" x14ac:dyDescent="0.25">
      <c r="A285" s="34"/>
      <c r="B285" s="35"/>
      <c r="C285" s="40">
        <v>2</v>
      </c>
      <c r="D285" s="40">
        <v>0.3</v>
      </c>
      <c r="E285" s="40">
        <v>0.3</v>
      </c>
      <c r="F285" s="40">
        <v>1.3</v>
      </c>
      <c r="G285" s="40"/>
      <c r="H285" s="40"/>
      <c r="I285" s="40">
        <f t="shared" si="31"/>
        <v>0.11699999999999999</v>
      </c>
      <c r="J285" s="40">
        <f t="shared" si="32"/>
        <v>0.11699999999999999</v>
      </c>
      <c r="K285" s="40">
        <f t="shared" si="33"/>
        <v>0.23399999999999999</v>
      </c>
      <c r="L285" s="40"/>
      <c r="M285" s="59"/>
      <c r="N285" s="97"/>
      <c r="O285" s="32"/>
      <c r="P285" s="85"/>
      <c r="Q285" s="126"/>
      <c r="R285" s="126"/>
      <c r="S285" s="126"/>
      <c r="T285" s="85"/>
      <c r="U285" s="85"/>
      <c r="V285" s="85"/>
      <c r="W285" s="85"/>
    </row>
    <row r="286" spans="1:23" s="33" customFormat="1" ht="13.8" x14ac:dyDescent="0.25">
      <c r="A286" s="34"/>
      <c r="B286" s="35"/>
      <c r="C286" s="40">
        <v>2</v>
      </c>
      <c r="D286" s="40">
        <v>0.3</v>
      </c>
      <c r="E286" s="40">
        <v>0.35</v>
      </c>
      <c r="F286" s="40">
        <v>1.3</v>
      </c>
      <c r="G286" s="40"/>
      <c r="H286" s="40"/>
      <c r="I286" s="40">
        <f t="shared" si="31"/>
        <v>0.13649999999999998</v>
      </c>
      <c r="J286" s="40">
        <f t="shared" si="32"/>
        <v>0.13649999999999998</v>
      </c>
      <c r="K286" s="40">
        <f t="shared" si="33"/>
        <v>0.27299999999999996</v>
      </c>
      <c r="L286" s="40"/>
      <c r="M286" s="59"/>
      <c r="N286" s="97"/>
      <c r="O286" s="32"/>
      <c r="P286" s="85"/>
      <c r="Q286" s="126"/>
      <c r="R286" s="126"/>
      <c r="S286" s="126"/>
      <c r="T286" s="85"/>
      <c r="U286" s="85"/>
      <c r="V286" s="85"/>
      <c r="W286" s="85"/>
    </row>
    <row r="287" spans="1:23" s="33" customFormat="1" ht="13.8" x14ac:dyDescent="0.25">
      <c r="A287" s="34"/>
      <c r="B287" s="35"/>
      <c r="C287" s="40">
        <v>2</v>
      </c>
      <c r="D287" s="40">
        <v>0.3</v>
      </c>
      <c r="E287" s="40">
        <v>0.45</v>
      </c>
      <c r="F287" s="40">
        <v>1.3</v>
      </c>
      <c r="G287" s="40"/>
      <c r="H287" s="40"/>
      <c r="I287" s="40">
        <f t="shared" si="31"/>
        <v>0.17550000000000002</v>
      </c>
      <c r="J287" s="40">
        <f t="shared" si="32"/>
        <v>0.17550000000000002</v>
      </c>
      <c r="K287" s="40">
        <f t="shared" si="33"/>
        <v>0.35100000000000003</v>
      </c>
      <c r="L287" s="40"/>
      <c r="M287" s="59"/>
      <c r="N287" s="97"/>
      <c r="O287" s="32"/>
      <c r="P287" s="85"/>
      <c r="Q287" s="126"/>
      <c r="R287" s="126"/>
      <c r="S287" s="126"/>
      <c r="T287" s="85"/>
      <c r="U287" s="85"/>
      <c r="V287" s="85"/>
      <c r="W287" s="85"/>
    </row>
    <row r="288" spans="1:23" s="33" customFormat="1" ht="13.8" x14ac:dyDescent="0.25">
      <c r="A288" s="34"/>
      <c r="B288" s="35"/>
      <c r="C288" s="40">
        <v>1</v>
      </c>
      <c r="D288" s="40">
        <v>0.33</v>
      </c>
      <c r="E288" s="40">
        <v>0.45</v>
      </c>
      <c r="F288" s="40">
        <v>1.3</v>
      </c>
      <c r="G288" s="40"/>
      <c r="H288" s="40"/>
      <c r="I288" s="40">
        <f t="shared" si="31"/>
        <v>0.19305000000000003</v>
      </c>
      <c r="J288" s="40">
        <f t="shared" si="32"/>
        <v>0.19305000000000003</v>
      </c>
      <c r="K288" s="40">
        <f t="shared" si="33"/>
        <v>0.19305000000000003</v>
      </c>
      <c r="L288" s="40"/>
      <c r="M288" s="59"/>
      <c r="N288" s="97"/>
      <c r="O288" s="32"/>
      <c r="P288" s="85"/>
      <c r="Q288" s="126"/>
      <c r="R288" s="126"/>
      <c r="S288" s="126"/>
      <c r="T288" s="85"/>
      <c r="U288" s="85"/>
      <c r="V288" s="85"/>
      <c r="W288" s="85"/>
    </row>
    <row r="289" spans="1:23" s="33" customFormat="1" ht="13.8" x14ac:dyDescent="0.25">
      <c r="A289" s="34"/>
      <c r="B289" s="35"/>
      <c r="C289" s="40">
        <v>2</v>
      </c>
      <c r="D289" s="40">
        <v>0.3</v>
      </c>
      <c r="E289" s="40">
        <v>0.5</v>
      </c>
      <c r="F289" s="40">
        <v>1.3</v>
      </c>
      <c r="G289" s="40"/>
      <c r="H289" s="40"/>
      <c r="I289" s="40">
        <f t="shared" si="31"/>
        <v>0.19500000000000001</v>
      </c>
      <c r="J289" s="40">
        <f t="shared" si="32"/>
        <v>0.19500000000000001</v>
      </c>
      <c r="K289" s="40">
        <f t="shared" si="33"/>
        <v>0.39</v>
      </c>
      <c r="L289" s="40"/>
      <c r="M289" s="59"/>
      <c r="N289" s="97"/>
      <c r="O289" s="32"/>
      <c r="P289" s="85"/>
      <c r="Q289" s="126"/>
      <c r="R289" s="126"/>
      <c r="S289" s="126"/>
      <c r="T289" s="85"/>
      <c r="U289" s="85"/>
      <c r="V289" s="85"/>
      <c r="W289" s="85"/>
    </row>
    <row r="290" spans="1:23" s="33" customFormat="1" ht="13.8" x14ac:dyDescent="0.25">
      <c r="A290" s="34"/>
      <c r="B290" s="35"/>
      <c r="C290" s="40">
        <v>2</v>
      </c>
      <c r="D290" s="40">
        <v>0.4</v>
      </c>
      <c r="E290" s="40">
        <v>0.4</v>
      </c>
      <c r="F290" s="40">
        <v>1.3</v>
      </c>
      <c r="G290" s="40"/>
      <c r="H290" s="40"/>
      <c r="I290" s="40">
        <f t="shared" si="31"/>
        <v>0.20800000000000002</v>
      </c>
      <c r="J290" s="40">
        <f t="shared" si="32"/>
        <v>0.20800000000000002</v>
      </c>
      <c r="K290" s="40">
        <f t="shared" si="33"/>
        <v>0.41600000000000004</v>
      </c>
      <c r="L290" s="40"/>
      <c r="M290" s="59"/>
      <c r="N290" s="97"/>
      <c r="O290" s="32"/>
      <c r="P290" s="85"/>
      <c r="Q290" s="126"/>
      <c r="R290" s="126"/>
      <c r="S290" s="126"/>
      <c r="T290" s="85"/>
      <c r="U290" s="85"/>
      <c r="V290" s="85"/>
      <c r="W290" s="85"/>
    </row>
    <row r="291" spans="1:23" s="33" customFormat="1" ht="13.8" x14ac:dyDescent="0.25">
      <c r="A291" s="34"/>
      <c r="B291" s="35"/>
      <c r="C291" s="40">
        <v>5</v>
      </c>
      <c r="D291" s="40">
        <v>0.5</v>
      </c>
      <c r="E291" s="40">
        <v>0.5</v>
      </c>
      <c r="F291" s="40">
        <v>1.3</v>
      </c>
      <c r="G291" s="40"/>
      <c r="H291" s="40"/>
      <c r="I291" s="40">
        <f t="shared" si="31"/>
        <v>0.32500000000000001</v>
      </c>
      <c r="J291" s="40">
        <f t="shared" si="32"/>
        <v>0.32500000000000001</v>
      </c>
      <c r="K291" s="40">
        <f t="shared" si="33"/>
        <v>1.625</v>
      </c>
      <c r="L291" s="40"/>
      <c r="M291" s="59"/>
      <c r="N291" s="97"/>
      <c r="O291" s="32"/>
      <c r="P291" s="85"/>
      <c r="Q291" s="126"/>
      <c r="R291" s="126"/>
      <c r="S291" s="126"/>
      <c r="T291" s="85"/>
      <c r="U291" s="85"/>
      <c r="V291" s="85"/>
      <c r="W291" s="85"/>
    </row>
    <row r="292" spans="1:23" s="33" customFormat="1" ht="13.8" x14ac:dyDescent="0.25">
      <c r="A292" s="34"/>
      <c r="B292" s="35"/>
      <c r="C292" s="59">
        <f>+SUM(C279:C291)</f>
        <v>41</v>
      </c>
      <c r="D292" s="40"/>
      <c r="E292" s="40"/>
      <c r="F292" s="40"/>
      <c r="G292" s="40"/>
      <c r="H292" s="40"/>
      <c r="I292" s="40"/>
      <c r="J292" s="40"/>
      <c r="K292" s="40"/>
      <c r="L292" s="40"/>
      <c r="M292" s="59"/>
      <c r="N292" s="97"/>
      <c r="O292" s="32"/>
      <c r="P292" s="85"/>
      <c r="Q292" s="126"/>
      <c r="R292" s="126"/>
      <c r="S292" s="126"/>
      <c r="T292" s="85"/>
      <c r="U292" s="85"/>
      <c r="V292" s="85"/>
      <c r="W292" s="85"/>
    </row>
    <row r="293" spans="1:23" s="33" customFormat="1" ht="13.8" x14ac:dyDescent="0.25">
      <c r="A293" s="34"/>
      <c r="B293" s="58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59"/>
      <c r="N293" s="97"/>
      <c r="O293" s="32"/>
      <c r="P293" s="85"/>
      <c r="Q293" s="126"/>
      <c r="R293" s="126"/>
      <c r="S293" s="126"/>
      <c r="T293" s="85"/>
      <c r="U293" s="85"/>
      <c r="V293" s="85"/>
      <c r="W293" s="85"/>
    </row>
    <row r="294" spans="1:23" s="33" customFormat="1" ht="13.8" x14ac:dyDescent="0.25">
      <c r="A294" s="34"/>
      <c r="B294" s="58" t="s">
        <v>71</v>
      </c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59"/>
      <c r="N294" s="97"/>
      <c r="O294" s="32"/>
      <c r="P294" s="85"/>
      <c r="Q294" s="126"/>
      <c r="R294" s="126"/>
      <c r="S294" s="126"/>
      <c r="T294" s="85"/>
      <c r="U294" s="85"/>
      <c r="V294" s="85"/>
      <c r="W294" s="85"/>
    </row>
    <row r="295" spans="1:23" s="33" customFormat="1" ht="13.8" x14ac:dyDescent="0.25">
      <c r="A295" s="34"/>
      <c r="B295" s="58" t="s">
        <v>72</v>
      </c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59"/>
      <c r="N295" s="97"/>
      <c r="O295" s="32"/>
      <c r="P295" s="85"/>
      <c r="Q295" s="126"/>
      <c r="R295" s="126"/>
      <c r="S295" s="126"/>
      <c r="T295" s="85"/>
      <c r="U295" s="85"/>
      <c r="V295" s="85"/>
      <c r="W295" s="85"/>
    </row>
    <row r="296" spans="1:23" s="33" customFormat="1" ht="13.8" x14ac:dyDescent="0.25">
      <c r="A296" s="28" t="s">
        <v>13</v>
      </c>
      <c r="B296" s="29" t="s">
        <v>20</v>
      </c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59"/>
      <c r="N296" s="97"/>
      <c r="O296" s="32"/>
      <c r="P296" s="85"/>
      <c r="Q296" s="126"/>
      <c r="R296" s="126"/>
      <c r="S296" s="126"/>
      <c r="T296" s="85"/>
      <c r="U296" s="85"/>
      <c r="V296" s="85"/>
      <c r="W296" s="85"/>
    </row>
    <row r="297" spans="1:23" s="33" customFormat="1" ht="13.8" x14ac:dyDescent="0.25">
      <c r="A297" s="34"/>
      <c r="B297" s="163" t="s">
        <v>45</v>
      </c>
      <c r="C297" s="40"/>
      <c r="D297" s="40"/>
      <c r="E297" s="40"/>
      <c r="F297" s="40"/>
      <c r="G297" s="40"/>
      <c r="H297" s="40"/>
      <c r="I297" s="40"/>
      <c r="J297" s="40"/>
      <c r="K297" s="40"/>
      <c r="L297" s="40">
        <v>1.05</v>
      </c>
      <c r="M297" s="59">
        <f>+(K298+K337+K372+K407+K442+K465+K474+K502)*L297</f>
        <v>217.22867249999999</v>
      </c>
      <c r="N297" s="59" t="s">
        <v>11</v>
      </c>
      <c r="O297" s="32"/>
      <c r="P297" s="85"/>
      <c r="Q297" s="126"/>
      <c r="R297" s="126"/>
      <c r="S297" s="126"/>
      <c r="T297" s="85"/>
      <c r="U297" s="85"/>
      <c r="V297" s="85"/>
      <c r="W297" s="85"/>
    </row>
    <row r="298" spans="1:23" s="33" customFormat="1" ht="13.8" x14ac:dyDescent="0.25">
      <c r="A298" s="34"/>
      <c r="B298" s="164" t="s">
        <v>492</v>
      </c>
      <c r="C298" s="40"/>
      <c r="D298" s="40"/>
      <c r="E298" s="40"/>
      <c r="F298" s="40"/>
      <c r="G298" s="40"/>
      <c r="H298" s="40"/>
      <c r="I298" s="40"/>
      <c r="J298" s="40"/>
      <c r="K298" s="172">
        <f>+SUM(K300:K335)</f>
        <v>24.598949999999995</v>
      </c>
      <c r="L298" s="167"/>
      <c r="M298" s="59"/>
      <c r="N298" s="97"/>
      <c r="O298" s="32"/>
      <c r="P298" s="85"/>
      <c r="Q298" s="126"/>
      <c r="R298" s="126"/>
      <c r="S298" s="126"/>
      <c r="T298" s="85"/>
      <c r="U298" s="85"/>
      <c r="V298" s="85"/>
      <c r="W298" s="85"/>
    </row>
    <row r="299" spans="1:23" s="33" customFormat="1" ht="13.8" x14ac:dyDescent="0.25">
      <c r="A299" s="34"/>
      <c r="B299" s="58" t="s">
        <v>203</v>
      </c>
      <c r="C299" s="40"/>
      <c r="D299" s="40"/>
      <c r="E299" s="40"/>
      <c r="F299" s="40"/>
      <c r="G299" s="40"/>
      <c r="H299" s="40"/>
      <c r="I299" s="40"/>
      <c r="J299" s="40"/>
      <c r="K299" s="59"/>
      <c r="L299" s="59"/>
      <c r="M299" s="59"/>
      <c r="N299" s="97"/>
      <c r="O299" s="32"/>
      <c r="P299" s="85"/>
      <c r="Q299" s="126"/>
      <c r="R299" s="126"/>
      <c r="S299" s="126"/>
      <c r="T299" s="85"/>
      <c r="U299" s="85"/>
      <c r="V299" s="85"/>
      <c r="W299" s="85"/>
    </row>
    <row r="300" spans="1:23" s="33" customFormat="1" ht="13.8" x14ac:dyDescent="0.25">
      <c r="A300" s="34"/>
      <c r="B300" s="35" t="s">
        <v>493</v>
      </c>
      <c r="C300" s="40">
        <v>1</v>
      </c>
      <c r="D300" s="40">
        <v>14.9</v>
      </c>
      <c r="E300" s="40">
        <v>0.2</v>
      </c>
      <c r="F300" s="40">
        <v>0.4</v>
      </c>
      <c r="G300" s="40"/>
      <c r="H300" s="40"/>
      <c r="I300" s="40">
        <f t="shared" ref="I300:I317" si="34">+F300*E300*D300</f>
        <v>1.1920000000000002</v>
      </c>
      <c r="J300" s="40">
        <f t="shared" ref="J300:J317" si="35">+I300</f>
        <v>1.1920000000000002</v>
      </c>
      <c r="K300" s="40">
        <f t="shared" ref="K300:K317" si="36">+J300*C300</f>
        <v>1.1920000000000002</v>
      </c>
      <c r="L300" s="131"/>
      <c r="M300" s="59"/>
      <c r="N300" s="97"/>
      <c r="O300" s="32"/>
      <c r="P300" s="85"/>
      <c r="Q300" s="126"/>
      <c r="R300" s="126"/>
      <c r="S300" s="126"/>
      <c r="T300" s="85"/>
      <c r="U300" s="85"/>
      <c r="V300" s="85"/>
      <c r="W300" s="85"/>
    </row>
    <row r="301" spans="1:23" s="33" customFormat="1" ht="13.8" x14ac:dyDescent="0.25">
      <c r="A301" s="34"/>
      <c r="B301" s="35" t="s">
        <v>494</v>
      </c>
      <c r="C301" s="40">
        <v>1</v>
      </c>
      <c r="D301" s="40">
        <v>6.9</v>
      </c>
      <c r="E301" s="40">
        <v>0.2</v>
      </c>
      <c r="F301" s="40">
        <v>0.3</v>
      </c>
      <c r="G301" s="40"/>
      <c r="H301" s="40"/>
      <c r="I301" s="40">
        <f t="shared" si="34"/>
        <v>0.41399999999999998</v>
      </c>
      <c r="J301" s="40">
        <f t="shared" si="35"/>
        <v>0.41399999999999998</v>
      </c>
      <c r="K301" s="40">
        <f t="shared" si="36"/>
        <v>0.41399999999999998</v>
      </c>
      <c r="L301" s="131"/>
      <c r="M301" s="59"/>
      <c r="N301" s="97"/>
      <c r="O301" s="32"/>
      <c r="P301" s="85"/>
      <c r="Q301" s="126"/>
      <c r="R301" s="126"/>
      <c r="S301" s="126"/>
      <c r="T301" s="85"/>
      <c r="U301" s="85"/>
      <c r="V301" s="85"/>
      <c r="W301" s="85"/>
    </row>
    <row r="302" spans="1:23" s="33" customFormat="1" ht="13.8" x14ac:dyDescent="0.25">
      <c r="A302" s="34"/>
      <c r="B302" s="35" t="s">
        <v>206</v>
      </c>
      <c r="C302" s="40">
        <v>1</v>
      </c>
      <c r="D302" s="40">
        <v>6.9</v>
      </c>
      <c r="E302" s="40">
        <v>0.2</v>
      </c>
      <c r="F302" s="40">
        <v>0.3</v>
      </c>
      <c r="G302" s="40"/>
      <c r="H302" s="40"/>
      <c r="I302" s="40">
        <f t="shared" si="34"/>
        <v>0.41399999999999998</v>
      </c>
      <c r="J302" s="40">
        <f t="shared" si="35"/>
        <v>0.41399999999999998</v>
      </c>
      <c r="K302" s="40">
        <f t="shared" si="36"/>
        <v>0.41399999999999998</v>
      </c>
      <c r="L302" s="131"/>
      <c r="M302" s="59"/>
      <c r="N302" s="97"/>
      <c r="O302" s="32"/>
      <c r="P302" s="85"/>
      <c r="Q302" s="126"/>
      <c r="R302" s="126"/>
      <c r="S302" s="126"/>
      <c r="T302" s="85"/>
      <c r="U302" s="85"/>
      <c r="V302" s="85"/>
      <c r="W302" s="85"/>
    </row>
    <row r="303" spans="1:23" s="33" customFormat="1" ht="13.8" x14ac:dyDescent="0.25">
      <c r="A303" s="34"/>
      <c r="B303" s="35" t="s">
        <v>495</v>
      </c>
      <c r="C303" s="40">
        <v>1</v>
      </c>
      <c r="D303" s="40">
        <v>7.9</v>
      </c>
      <c r="E303" s="40">
        <v>0.2</v>
      </c>
      <c r="F303" s="40">
        <v>0.3</v>
      </c>
      <c r="G303" s="40"/>
      <c r="H303" s="40"/>
      <c r="I303" s="40">
        <f t="shared" si="34"/>
        <v>0.47399999999999998</v>
      </c>
      <c r="J303" s="40">
        <f t="shared" si="35"/>
        <v>0.47399999999999998</v>
      </c>
      <c r="K303" s="40">
        <f t="shared" si="36"/>
        <v>0.47399999999999998</v>
      </c>
      <c r="L303" s="131"/>
      <c r="M303" s="59"/>
      <c r="N303" s="97"/>
      <c r="O303" s="32"/>
      <c r="P303" s="85"/>
      <c r="Q303" s="126"/>
      <c r="R303" s="126"/>
      <c r="S303" s="126"/>
      <c r="T303" s="85"/>
      <c r="U303" s="85"/>
      <c r="V303" s="85"/>
      <c r="W303" s="85"/>
    </row>
    <row r="304" spans="1:23" s="33" customFormat="1" ht="13.8" x14ac:dyDescent="0.25">
      <c r="A304" s="34"/>
      <c r="B304" s="35" t="s">
        <v>496</v>
      </c>
      <c r="C304" s="40">
        <v>1</v>
      </c>
      <c r="D304" s="40">
        <v>14.7</v>
      </c>
      <c r="E304" s="40">
        <v>0.2</v>
      </c>
      <c r="F304" s="40">
        <v>0.3</v>
      </c>
      <c r="G304" s="40"/>
      <c r="H304" s="40"/>
      <c r="I304" s="40">
        <f t="shared" si="34"/>
        <v>0.8819999999999999</v>
      </c>
      <c r="J304" s="40">
        <f t="shared" si="35"/>
        <v>0.8819999999999999</v>
      </c>
      <c r="K304" s="40">
        <f t="shared" si="36"/>
        <v>0.8819999999999999</v>
      </c>
      <c r="L304" s="131"/>
      <c r="M304" s="59"/>
      <c r="N304" s="97"/>
      <c r="O304" s="32"/>
      <c r="P304" s="85"/>
      <c r="Q304" s="126"/>
      <c r="R304" s="126"/>
      <c r="S304" s="126"/>
      <c r="T304" s="85"/>
      <c r="U304" s="85"/>
      <c r="V304" s="85"/>
      <c r="W304" s="85"/>
    </row>
    <row r="305" spans="1:23" s="33" customFormat="1" ht="13.8" x14ac:dyDescent="0.25">
      <c r="A305" s="34"/>
      <c r="B305" s="35" t="s">
        <v>207</v>
      </c>
      <c r="C305" s="40">
        <v>1</v>
      </c>
      <c r="D305" s="40">
        <v>2.9</v>
      </c>
      <c r="E305" s="40">
        <v>0.2</v>
      </c>
      <c r="F305" s="40">
        <v>0.3</v>
      </c>
      <c r="G305" s="40"/>
      <c r="H305" s="40"/>
      <c r="I305" s="40">
        <f t="shared" si="34"/>
        <v>0.17399999999999999</v>
      </c>
      <c r="J305" s="40">
        <f t="shared" si="35"/>
        <v>0.17399999999999999</v>
      </c>
      <c r="K305" s="40">
        <f t="shared" si="36"/>
        <v>0.17399999999999999</v>
      </c>
      <c r="L305" s="131"/>
      <c r="M305" s="59"/>
      <c r="N305" s="97"/>
      <c r="O305" s="32"/>
      <c r="P305" s="85"/>
      <c r="Q305" s="126"/>
      <c r="R305" s="126"/>
      <c r="S305" s="126"/>
      <c r="T305" s="85"/>
      <c r="U305" s="85"/>
      <c r="V305" s="85"/>
      <c r="W305" s="85"/>
    </row>
    <row r="306" spans="1:23" s="33" customFormat="1" ht="13.8" x14ac:dyDescent="0.25">
      <c r="A306" s="34"/>
      <c r="B306" s="35" t="s">
        <v>497</v>
      </c>
      <c r="C306" s="40">
        <v>1</v>
      </c>
      <c r="D306" s="40">
        <v>14.6</v>
      </c>
      <c r="E306" s="40">
        <v>0.2</v>
      </c>
      <c r="F306" s="40">
        <v>0.3</v>
      </c>
      <c r="G306" s="40"/>
      <c r="H306" s="40"/>
      <c r="I306" s="40">
        <f t="shared" si="34"/>
        <v>0.876</v>
      </c>
      <c r="J306" s="40">
        <f t="shared" si="35"/>
        <v>0.876</v>
      </c>
      <c r="K306" s="40">
        <f t="shared" si="36"/>
        <v>0.876</v>
      </c>
      <c r="L306" s="131"/>
      <c r="M306" s="59"/>
      <c r="N306" s="97"/>
      <c r="O306" s="32"/>
      <c r="P306" s="85"/>
      <c r="Q306" s="126"/>
      <c r="R306" s="126"/>
      <c r="S306" s="126"/>
      <c r="T306" s="85"/>
      <c r="U306" s="85"/>
      <c r="V306" s="85"/>
      <c r="W306" s="85"/>
    </row>
    <row r="307" spans="1:23" s="33" customFormat="1" ht="13.8" x14ac:dyDescent="0.25">
      <c r="A307" s="34"/>
      <c r="B307" s="35" t="s">
        <v>498</v>
      </c>
      <c r="C307" s="40">
        <v>1</v>
      </c>
      <c r="D307" s="40">
        <v>5.7</v>
      </c>
      <c r="E307" s="40">
        <v>0.2</v>
      </c>
      <c r="F307" s="40">
        <v>0.3</v>
      </c>
      <c r="G307" s="40"/>
      <c r="H307" s="40"/>
      <c r="I307" s="40">
        <f t="shared" si="34"/>
        <v>0.34199999999999997</v>
      </c>
      <c r="J307" s="40">
        <f t="shared" si="35"/>
        <v>0.34199999999999997</v>
      </c>
      <c r="K307" s="40">
        <f t="shared" si="36"/>
        <v>0.34199999999999997</v>
      </c>
      <c r="L307" s="131"/>
      <c r="M307" s="59"/>
      <c r="N307" s="97"/>
      <c r="O307" s="32"/>
      <c r="P307" s="85"/>
      <c r="Q307" s="126"/>
      <c r="R307" s="126"/>
      <c r="S307" s="126"/>
      <c r="T307" s="85"/>
      <c r="U307" s="85"/>
      <c r="V307" s="85"/>
      <c r="W307" s="85"/>
    </row>
    <row r="308" spans="1:23" s="33" customFormat="1" ht="13.8" x14ac:dyDescent="0.25">
      <c r="A308" s="34"/>
      <c r="B308" s="35" t="s">
        <v>499</v>
      </c>
      <c r="C308" s="40">
        <v>1</v>
      </c>
      <c r="D308" s="40">
        <v>11.5</v>
      </c>
      <c r="E308" s="40">
        <v>0.2</v>
      </c>
      <c r="F308" s="40">
        <v>0.3</v>
      </c>
      <c r="G308" s="40"/>
      <c r="H308" s="40"/>
      <c r="I308" s="40">
        <f t="shared" si="34"/>
        <v>0.69</v>
      </c>
      <c r="J308" s="40">
        <f t="shared" si="35"/>
        <v>0.69</v>
      </c>
      <c r="K308" s="40">
        <f t="shared" si="36"/>
        <v>0.69</v>
      </c>
      <c r="L308" s="131"/>
      <c r="M308" s="59"/>
      <c r="N308" s="97"/>
      <c r="O308" s="32"/>
      <c r="P308" s="85"/>
      <c r="Q308" s="126"/>
      <c r="R308" s="126"/>
      <c r="S308" s="126"/>
      <c r="T308" s="85"/>
      <c r="U308" s="85"/>
      <c r="V308" s="85"/>
      <c r="W308" s="85"/>
    </row>
    <row r="309" spans="1:23" s="33" customFormat="1" ht="13.8" x14ac:dyDescent="0.25">
      <c r="A309" s="34"/>
      <c r="B309" s="35" t="s">
        <v>500</v>
      </c>
      <c r="C309" s="40">
        <v>1</v>
      </c>
      <c r="D309" s="40">
        <v>9</v>
      </c>
      <c r="E309" s="40">
        <v>0.2</v>
      </c>
      <c r="F309" s="40">
        <v>0.3</v>
      </c>
      <c r="G309" s="40"/>
      <c r="H309" s="40"/>
      <c r="I309" s="40">
        <f t="shared" si="34"/>
        <v>0.54</v>
      </c>
      <c r="J309" s="40">
        <f t="shared" si="35"/>
        <v>0.54</v>
      </c>
      <c r="K309" s="40">
        <f t="shared" si="36"/>
        <v>0.54</v>
      </c>
      <c r="L309" s="131"/>
      <c r="M309" s="59"/>
      <c r="N309" s="97"/>
      <c r="O309" s="32"/>
      <c r="P309" s="85"/>
      <c r="Q309" s="126"/>
      <c r="R309" s="126"/>
      <c r="S309" s="126"/>
      <c r="T309" s="85"/>
      <c r="U309" s="85"/>
      <c r="V309" s="85"/>
      <c r="W309" s="85"/>
    </row>
    <row r="310" spans="1:23" s="33" customFormat="1" ht="13.8" x14ac:dyDescent="0.25">
      <c r="A310" s="34"/>
      <c r="B310" s="35" t="s">
        <v>501</v>
      </c>
      <c r="C310" s="40">
        <v>1</v>
      </c>
      <c r="D310" s="40">
        <v>13.9</v>
      </c>
      <c r="E310" s="40">
        <v>0.2</v>
      </c>
      <c r="F310" s="40">
        <v>0.3</v>
      </c>
      <c r="G310" s="40"/>
      <c r="H310" s="40"/>
      <c r="I310" s="40">
        <f t="shared" si="34"/>
        <v>0.83399999999999996</v>
      </c>
      <c r="J310" s="40">
        <f t="shared" si="35"/>
        <v>0.83399999999999996</v>
      </c>
      <c r="K310" s="40">
        <f t="shared" si="36"/>
        <v>0.83399999999999996</v>
      </c>
      <c r="L310" s="131"/>
      <c r="M310" s="59"/>
      <c r="N310" s="97"/>
      <c r="O310" s="32"/>
      <c r="P310" s="85"/>
      <c r="Q310" s="126"/>
      <c r="R310" s="126"/>
      <c r="S310" s="126"/>
      <c r="T310" s="85"/>
      <c r="U310" s="85"/>
      <c r="V310" s="85"/>
      <c r="W310" s="85"/>
    </row>
    <row r="311" spans="1:23" s="33" customFormat="1" ht="13.8" x14ac:dyDescent="0.25">
      <c r="A311" s="34"/>
      <c r="B311" s="35" t="s">
        <v>502</v>
      </c>
      <c r="C311" s="40">
        <v>1</v>
      </c>
      <c r="D311" s="40">
        <v>8.6999999999999993</v>
      </c>
      <c r="E311" s="40">
        <v>0.2</v>
      </c>
      <c r="F311" s="40">
        <v>0.3</v>
      </c>
      <c r="G311" s="40"/>
      <c r="H311" s="40"/>
      <c r="I311" s="40">
        <f t="shared" si="34"/>
        <v>0.52199999999999991</v>
      </c>
      <c r="J311" s="40">
        <f t="shared" si="35"/>
        <v>0.52199999999999991</v>
      </c>
      <c r="K311" s="40">
        <f t="shared" si="36"/>
        <v>0.52199999999999991</v>
      </c>
      <c r="L311" s="131"/>
      <c r="M311" s="59"/>
      <c r="N311" s="97"/>
      <c r="O311" s="32"/>
      <c r="P311" s="85"/>
      <c r="Q311" s="126"/>
      <c r="R311" s="126"/>
      <c r="S311" s="126"/>
      <c r="T311" s="85"/>
      <c r="U311" s="85"/>
      <c r="V311" s="85"/>
      <c r="W311" s="85"/>
    </row>
    <row r="312" spans="1:23" s="33" customFormat="1" ht="13.8" x14ac:dyDescent="0.25">
      <c r="A312" s="34"/>
      <c r="B312" s="35" t="s">
        <v>208</v>
      </c>
      <c r="C312" s="40">
        <v>1</v>
      </c>
      <c r="D312" s="40">
        <v>8.6999999999999993</v>
      </c>
      <c r="E312" s="40">
        <v>0.2</v>
      </c>
      <c r="F312" s="40">
        <v>0.3</v>
      </c>
      <c r="G312" s="40"/>
      <c r="H312" s="40"/>
      <c r="I312" s="40">
        <f t="shared" si="34"/>
        <v>0.52199999999999991</v>
      </c>
      <c r="J312" s="40">
        <f t="shared" si="35"/>
        <v>0.52199999999999991</v>
      </c>
      <c r="K312" s="40">
        <f t="shared" si="36"/>
        <v>0.52199999999999991</v>
      </c>
      <c r="L312" s="131"/>
      <c r="M312" s="59"/>
      <c r="N312" s="97"/>
      <c r="O312" s="32"/>
      <c r="P312" s="85"/>
      <c r="Q312" s="126"/>
      <c r="R312" s="126"/>
      <c r="S312" s="126"/>
      <c r="T312" s="85"/>
      <c r="U312" s="85"/>
      <c r="V312" s="85"/>
      <c r="W312" s="85"/>
    </row>
    <row r="313" spans="1:23" s="33" customFormat="1" ht="13.8" x14ac:dyDescent="0.25">
      <c r="A313" s="34"/>
      <c r="B313" s="35" t="s">
        <v>209</v>
      </c>
      <c r="C313" s="40">
        <v>1</v>
      </c>
      <c r="D313" s="40">
        <v>10.3</v>
      </c>
      <c r="E313" s="40">
        <v>0.2</v>
      </c>
      <c r="F313" s="40">
        <v>0.3</v>
      </c>
      <c r="G313" s="40"/>
      <c r="H313" s="40"/>
      <c r="I313" s="40">
        <f t="shared" si="34"/>
        <v>0.61799999999999999</v>
      </c>
      <c r="J313" s="40">
        <f t="shared" si="35"/>
        <v>0.61799999999999999</v>
      </c>
      <c r="K313" s="40">
        <f t="shared" si="36"/>
        <v>0.61799999999999999</v>
      </c>
      <c r="L313" s="131"/>
      <c r="M313" s="59"/>
      <c r="N313" s="97"/>
      <c r="O313" s="32"/>
      <c r="P313" s="85"/>
      <c r="Q313" s="126"/>
      <c r="R313" s="126"/>
      <c r="S313" s="126"/>
      <c r="T313" s="85"/>
      <c r="U313" s="85"/>
      <c r="V313" s="85"/>
      <c r="W313" s="85"/>
    </row>
    <row r="314" spans="1:23" s="33" customFormat="1" ht="13.8" x14ac:dyDescent="0.25">
      <c r="A314" s="34"/>
      <c r="B314" s="35" t="s">
        <v>503</v>
      </c>
      <c r="C314" s="40">
        <v>1</v>
      </c>
      <c r="D314" s="40">
        <v>15.1</v>
      </c>
      <c r="E314" s="40">
        <v>0.2</v>
      </c>
      <c r="F314" s="40">
        <v>0.3</v>
      </c>
      <c r="G314" s="40"/>
      <c r="H314" s="40"/>
      <c r="I314" s="40">
        <f t="shared" si="34"/>
        <v>0.90599999999999992</v>
      </c>
      <c r="J314" s="40">
        <f t="shared" si="35"/>
        <v>0.90599999999999992</v>
      </c>
      <c r="K314" s="40">
        <f t="shared" si="36"/>
        <v>0.90599999999999992</v>
      </c>
      <c r="L314" s="131"/>
      <c r="M314" s="59"/>
      <c r="N314" s="97"/>
      <c r="O314" s="32"/>
      <c r="P314" s="85"/>
      <c r="Q314" s="126"/>
      <c r="R314" s="126"/>
      <c r="S314" s="126"/>
      <c r="T314" s="85"/>
      <c r="U314" s="85"/>
      <c r="V314" s="85"/>
      <c r="W314" s="85"/>
    </row>
    <row r="315" spans="1:23" s="33" customFormat="1" ht="13.8" x14ac:dyDescent="0.25">
      <c r="A315" s="34"/>
      <c r="B315" s="35" t="s">
        <v>211</v>
      </c>
      <c r="C315" s="40">
        <v>1</v>
      </c>
      <c r="D315" s="40">
        <v>4</v>
      </c>
      <c r="E315" s="40">
        <v>0.2</v>
      </c>
      <c r="F315" s="40">
        <v>0.3</v>
      </c>
      <c r="G315" s="40"/>
      <c r="H315" s="40"/>
      <c r="I315" s="40">
        <f t="shared" si="34"/>
        <v>0.24</v>
      </c>
      <c r="J315" s="40">
        <f t="shared" si="35"/>
        <v>0.24</v>
      </c>
      <c r="K315" s="40">
        <f t="shared" si="36"/>
        <v>0.24</v>
      </c>
      <c r="L315" s="131"/>
      <c r="M315" s="59"/>
      <c r="N315" s="97"/>
      <c r="O315" s="32"/>
      <c r="P315" s="85"/>
      <c r="Q315" s="126"/>
      <c r="R315" s="126"/>
      <c r="S315" s="126"/>
      <c r="T315" s="85"/>
      <c r="U315" s="85"/>
      <c r="V315" s="85"/>
      <c r="W315" s="85"/>
    </row>
    <row r="316" spans="1:23" s="33" customFormat="1" ht="13.8" x14ac:dyDescent="0.25">
      <c r="A316" s="34"/>
      <c r="B316" s="35" t="s">
        <v>504</v>
      </c>
      <c r="C316" s="40">
        <v>1</v>
      </c>
      <c r="D316" s="40">
        <v>8</v>
      </c>
      <c r="E316" s="40">
        <v>0.2</v>
      </c>
      <c r="F316" s="40">
        <v>0.3</v>
      </c>
      <c r="G316" s="40"/>
      <c r="H316" s="40"/>
      <c r="I316" s="40">
        <f t="shared" si="34"/>
        <v>0.48</v>
      </c>
      <c r="J316" s="40">
        <f t="shared" si="35"/>
        <v>0.48</v>
      </c>
      <c r="K316" s="40">
        <f t="shared" si="36"/>
        <v>0.48</v>
      </c>
      <c r="L316" s="131"/>
      <c r="M316" s="59"/>
      <c r="N316" s="97"/>
      <c r="O316" s="32"/>
      <c r="P316" s="85"/>
      <c r="Q316" s="126"/>
      <c r="R316" s="126"/>
      <c r="S316" s="126"/>
      <c r="T316" s="85"/>
      <c r="U316" s="85"/>
      <c r="V316" s="85"/>
      <c r="W316" s="85"/>
    </row>
    <row r="317" spans="1:23" s="33" customFormat="1" ht="13.8" x14ac:dyDescent="0.25">
      <c r="A317" s="34"/>
      <c r="B317" s="35" t="s">
        <v>505</v>
      </c>
      <c r="C317" s="40">
        <v>1</v>
      </c>
      <c r="D317" s="40">
        <v>9.4</v>
      </c>
      <c r="E317" s="40">
        <v>0.2</v>
      </c>
      <c r="F317" s="40">
        <v>0.3</v>
      </c>
      <c r="G317" s="40"/>
      <c r="H317" s="40"/>
      <c r="I317" s="40">
        <f t="shared" si="34"/>
        <v>0.56399999999999995</v>
      </c>
      <c r="J317" s="40">
        <f t="shared" si="35"/>
        <v>0.56399999999999995</v>
      </c>
      <c r="K317" s="40">
        <f t="shared" si="36"/>
        <v>0.56399999999999995</v>
      </c>
      <c r="L317" s="131"/>
      <c r="M317" s="59"/>
      <c r="N317" s="97"/>
      <c r="O317" s="32"/>
      <c r="P317" s="85"/>
      <c r="Q317" s="126"/>
      <c r="R317" s="126"/>
      <c r="S317" s="126"/>
      <c r="T317" s="85"/>
      <c r="U317" s="85"/>
      <c r="V317" s="85"/>
      <c r="W317" s="85"/>
    </row>
    <row r="318" spans="1:23" s="33" customFormat="1" ht="13.8" x14ac:dyDescent="0.25">
      <c r="A318" s="34"/>
      <c r="B318" s="58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59"/>
      <c r="N318" s="59"/>
      <c r="O318" s="32"/>
      <c r="P318" s="85"/>
      <c r="Q318" s="126"/>
      <c r="R318" s="126"/>
      <c r="S318" s="126"/>
      <c r="T318" s="85"/>
      <c r="U318" s="85"/>
      <c r="V318" s="85"/>
      <c r="W318" s="85"/>
    </row>
    <row r="319" spans="1:23" s="33" customFormat="1" ht="13.8" x14ac:dyDescent="0.25">
      <c r="A319" s="34"/>
      <c r="B319" s="327" t="s">
        <v>506</v>
      </c>
      <c r="C319" s="130"/>
      <c r="D319" s="130"/>
      <c r="E319" s="130"/>
      <c r="F319" s="130"/>
      <c r="G319" s="130"/>
      <c r="H319" s="130"/>
      <c r="I319" s="130"/>
      <c r="J319" s="130"/>
      <c r="K319" s="59"/>
      <c r="L319" s="59"/>
      <c r="M319" s="59"/>
      <c r="N319" s="97"/>
      <c r="O319" s="32"/>
      <c r="P319" s="85"/>
      <c r="Q319" s="126"/>
      <c r="R319" s="126"/>
      <c r="S319" s="126"/>
      <c r="T319" s="85"/>
      <c r="U319" s="85"/>
      <c r="V319" s="85"/>
      <c r="W319" s="85"/>
    </row>
    <row r="320" spans="1:23" s="33" customFormat="1" ht="13.8" x14ac:dyDescent="0.25">
      <c r="A320" s="34"/>
      <c r="B320" s="328" t="s">
        <v>493</v>
      </c>
      <c r="C320" s="130">
        <v>1</v>
      </c>
      <c r="D320" s="130"/>
      <c r="E320" s="130"/>
      <c r="F320" s="130">
        <v>0.14000000000000001</v>
      </c>
      <c r="G320" s="130"/>
      <c r="H320" s="130">
        <v>79.099999999999994</v>
      </c>
      <c r="I320" s="130">
        <f>+H320*F320</f>
        <v>11.074</v>
      </c>
      <c r="J320" s="130">
        <f>+I320</f>
        <v>11.074</v>
      </c>
      <c r="K320" s="130">
        <f>+J320*C320</f>
        <v>11.074</v>
      </c>
      <c r="L320" s="131"/>
      <c r="M320" s="59"/>
      <c r="N320" s="97"/>
      <c r="O320" s="32"/>
      <c r="P320" s="85"/>
      <c r="Q320" s="126"/>
      <c r="R320" s="126"/>
      <c r="S320" s="126"/>
      <c r="T320" s="85"/>
      <c r="U320" s="85"/>
      <c r="V320" s="85"/>
      <c r="W320" s="85"/>
    </row>
    <row r="321" spans="1:23" s="33" customFormat="1" ht="13.8" x14ac:dyDescent="0.25">
      <c r="A321" s="34"/>
      <c r="B321" s="35"/>
      <c r="C321" s="40"/>
      <c r="D321" s="40"/>
      <c r="E321" s="40"/>
      <c r="F321" s="40"/>
      <c r="G321" s="40"/>
      <c r="H321" s="40"/>
      <c r="I321" s="40"/>
      <c r="J321" s="40"/>
      <c r="K321" s="40"/>
      <c r="L321" s="131"/>
      <c r="M321" s="59"/>
      <c r="N321" s="97"/>
      <c r="O321" s="32"/>
      <c r="P321" s="85"/>
      <c r="Q321" s="126"/>
      <c r="R321" s="126"/>
      <c r="S321" s="126"/>
      <c r="T321" s="85"/>
      <c r="U321" s="85"/>
      <c r="V321" s="85"/>
      <c r="W321" s="85"/>
    </row>
    <row r="322" spans="1:23" s="33" customFormat="1" ht="13.8" x14ac:dyDescent="0.25">
      <c r="A322" s="34"/>
      <c r="B322" s="61" t="s">
        <v>105</v>
      </c>
      <c r="C322" s="40"/>
      <c r="D322" s="40"/>
      <c r="E322" s="40"/>
      <c r="F322" s="40"/>
      <c r="G322" s="40"/>
      <c r="H322" s="40"/>
      <c r="I322" s="40"/>
      <c r="J322" s="40"/>
      <c r="K322" s="40"/>
      <c r="L322" s="106"/>
      <c r="M322" s="59"/>
      <c r="N322" s="97"/>
      <c r="O322" s="32"/>
      <c r="P322" s="85"/>
      <c r="Q322" s="126"/>
      <c r="R322" s="126"/>
      <c r="S322" s="126"/>
      <c r="T322" s="85"/>
      <c r="U322" s="85"/>
      <c r="V322" s="85"/>
      <c r="W322" s="85"/>
    </row>
    <row r="323" spans="1:23" s="33" customFormat="1" ht="13.8" x14ac:dyDescent="0.25">
      <c r="A323" s="34"/>
      <c r="B323" s="61"/>
      <c r="C323" s="40">
        <v>3</v>
      </c>
      <c r="D323" s="40">
        <v>0.2</v>
      </c>
      <c r="E323" s="40">
        <v>0.2</v>
      </c>
      <c r="F323" s="40">
        <v>0.7</v>
      </c>
      <c r="G323" s="40"/>
      <c r="H323" s="40"/>
      <c r="I323" s="40">
        <f t="shared" ref="I323:I335" si="37">+F323*E323*D323</f>
        <v>2.7999999999999997E-2</v>
      </c>
      <c r="J323" s="40">
        <f t="shared" ref="J323:J335" si="38">+I323</f>
        <v>2.7999999999999997E-2</v>
      </c>
      <c r="K323" s="40">
        <f t="shared" ref="K323:K335" si="39">+J323*C323</f>
        <v>8.3999999999999991E-2</v>
      </c>
      <c r="L323" s="106"/>
      <c r="M323" s="59"/>
      <c r="N323" s="97"/>
      <c r="O323" s="32"/>
      <c r="P323" s="85"/>
      <c r="Q323" s="126"/>
      <c r="R323" s="126"/>
      <c r="S323" s="126"/>
      <c r="T323" s="85"/>
      <c r="U323" s="85"/>
      <c r="V323" s="85"/>
      <c r="W323" s="85"/>
    </row>
    <row r="324" spans="1:23" s="33" customFormat="1" ht="13.8" x14ac:dyDescent="0.25">
      <c r="A324" s="34"/>
      <c r="B324" s="35"/>
      <c r="C324" s="40">
        <v>15</v>
      </c>
      <c r="D324" s="40">
        <v>0.2</v>
      </c>
      <c r="E324" s="40">
        <v>0.25</v>
      </c>
      <c r="F324" s="40">
        <v>0.7</v>
      </c>
      <c r="G324" s="40"/>
      <c r="H324" s="40"/>
      <c r="I324" s="40">
        <f t="shared" si="37"/>
        <v>3.4999999999999996E-2</v>
      </c>
      <c r="J324" s="40">
        <f t="shared" si="38"/>
        <v>3.4999999999999996E-2</v>
      </c>
      <c r="K324" s="40">
        <f t="shared" si="39"/>
        <v>0.52499999999999991</v>
      </c>
      <c r="L324" s="40"/>
      <c r="M324" s="59"/>
      <c r="N324" s="97"/>
      <c r="O324" s="32"/>
      <c r="P324" s="85"/>
      <c r="Q324" s="126"/>
      <c r="R324" s="126"/>
      <c r="S324" s="126"/>
      <c r="T324" s="85"/>
      <c r="U324" s="85"/>
      <c r="V324" s="85"/>
      <c r="W324" s="85"/>
    </row>
    <row r="325" spans="1:23" s="33" customFormat="1" ht="13.8" x14ac:dyDescent="0.25">
      <c r="A325" s="34"/>
      <c r="B325" s="35"/>
      <c r="C325" s="40">
        <v>2</v>
      </c>
      <c r="D325" s="40">
        <v>0.2</v>
      </c>
      <c r="E325" s="40">
        <v>0.3</v>
      </c>
      <c r="F325" s="40">
        <v>0.7</v>
      </c>
      <c r="G325" s="40"/>
      <c r="H325" s="40"/>
      <c r="I325" s="40">
        <f t="shared" si="37"/>
        <v>4.2000000000000003E-2</v>
      </c>
      <c r="J325" s="40">
        <f t="shared" si="38"/>
        <v>4.2000000000000003E-2</v>
      </c>
      <c r="K325" s="40">
        <f t="shared" si="39"/>
        <v>8.4000000000000005E-2</v>
      </c>
      <c r="L325" s="40"/>
      <c r="M325" s="59"/>
      <c r="N325" s="97"/>
      <c r="O325" s="32"/>
      <c r="P325" s="85"/>
      <c r="Q325" s="126"/>
      <c r="R325" s="126"/>
      <c r="S325" s="126"/>
      <c r="T325" s="85"/>
      <c r="U325" s="85"/>
      <c r="V325" s="85"/>
      <c r="W325" s="85"/>
    </row>
    <row r="326" spans="1:23" s="33" customFormat="1" ht="13.8" x14ac:dyDescent="0.25">
      <c r="A326" s="34"/>
      <c r="B326" s="35"/>
      <c r="C326" s="40">
        <v>2</v>
      </c>
      <c r="D326" s="40">
        <v>0.2</v>
      </c>
      <c r="E326" s="40">
        <v>0.35</v>
      </c>
      <c r="F326" s="40">
        <v>0.7</v>
      </c>
      <c r="G326" s="40"/>
      <c r="H326" s="40"/>
      <c r="I326" s="40">
        <f t="shared" si="37"/>
        <v>4.8999999999999995E-2</v>
      </c>
      <c r="J326" s="40">
        <f t="shared" si="38"/>
        <v>4.8999999999999995E-2</v>
      </c>
      <c r="K326" s="40">
        <f t="shared" si="39"/>
        <v>9.799999999999999E-2</v>
      </c>
      <c r="L326" s="40"/>
      <c r="M326" s="59"/>
      <c r="N326" s="97"/>
      <c r="O326" s="32"/>
      <c r="P326" s="85"/>
      <c r="Q326" s="126"/>
      <c r="R326" s="126"/>
      <c r="S326" s="126"/>
      <c r="T326" s="85"/>
      <c r="U326" s="85"/>
      <c r="V326" s="85"/>
      <c r="W326" s="85"/>
    </row>
    <row r="327" spans="1:23" s="33" customFormat="1" ht="13.8" x14ac:dyDescent="0.25">
      <c r="A327" s="34"/>
      <c r="B327" s="35"/>
      <c r="C327" s="40">
        <v>2</v>
      </c>
      <c r="D327" s="40">
        <v>0.2</v>
      </c>
      <c r="E327" s="40">
        <v>0.4</v>
      </c>
      <c r="F327" s="40">
        <v>0.7</v>
      </c>
      <c r="G327" s="40"/>
      <c r="H327" s="40"/>
      <c r="I327" s="40">
        <f t="shared" si="37"/>
        <v>5.5999999999999994E-2</v>
      </c>
      <c r="J327" s="40">
        <f t="shared" si="38"/>
        <v>5.5999999999999994E-2</v>
      </c>
      <c r="K327" s="40">
        <f t="shared" si="39"/>
        <v>0.11199999999999999</v>
      </c>
      <c r="L327" s="40"/>
      <c r="M327" s="59"/>
      <c r="N327" s="97"/>
      <c r="O327" s="32"/>
      <c r="P327" s="85"/>
      <c r="Q327" s="126"/>
      <c r="R327" s="126"/>
      <c r="S327" s="126"/>
      <c r="T327" s="85"/>
      <c r="U327" s="85"/>
      <c r="V327" s="85"/>
      <c r="W327" s="85"/>
    </row>
    <row r="328" spans="1:23" s="33" customFormat="1" ht="13.8" x14ac:dyDescent="0.25">
      <c r="A328" s="34"/>
      <c r="B328" s="35"/>
      <c r="C328" s="40">
        <v>1</v>
      </c>
      <c r="D328" s="40">
        <v>0.2</v>
      </c>
      <c r="E328" s="40">
        <v>0.45</v>
      </c>
      <c r="F328" s="40">
        <v>0.7</v>
      </c>
      <c r="G328" s="40"/>
      <c r="H328" s="40"/>
      <c r="I328" s="40">
        <f t="shared" si="37"/>
        <v>6.3E-2</v>
      </c>
      <c r="J328" s="40">
        <f t="shared" si="38"/>
        <v>6.3E-2</v>
      </c>
      <c r="K328" s="40">
        <f t="shared" si="39"/>
        <v>6.3E-2</v>
      </c>
      <c r="L328" s="40"/>
      <c r="M328" s="59"/>
      <c r="N328" s="97"/>
      <c r="O328" s="32"/>
      <c r="P328" s="85"/>
      <c r="Q328" s="126"/>
      <c r="R328" s="126"/>
      <c r="S328" s="126"/>
      <c r="T328" s="85"/>
      <c r="U328" s="85"/>
      <c r="V328" s="85"/>
      <c r="W328" s="85"/>
    </row>
    <row r="329" spans="1:23" s="33" customFormat="1" ht="13.8" x14ac:dyDescent="0.25">
      <c r="A329" s="34"/>
      <c r="B329" s="35"/>
      <c r="C329" s="40">
        <v>2</v>
      </c>
      <c r="D329" s="40">
        <v>0.3</v>
      </c>
      <c r="E329" s="40">
        <v>0.3</v>
      </c>
      <c r="F329" s="40">
        <v>0.7</v>
      </c>
      <c r="G329" s="40"/>
      <c r="H329" s="40"/>
      <c r="I329" s="40">
        <f t="shared" si="37"/>
        <v>6.3E-2</v>
      </c>
      <c r="J329" s="40">
        <f t="shared" si="38"/>
        <v>6.3E-2</v>
      </c>
      <c r="K329" s="40">
        <f t="shared" si="39"/>
        <v>0.126</v>
      </c>
      <c r="L329" s="40"/>
      <c r="M329" s="59"/>
      <c r="N329" s="97"/>
      <c r="O329" s="32"/>
      <c r="P329" s="85"/>
      <c r="Q329" s="126"/>
      <c r="R329" s="126"/>
      <c r="S329" s="126"/>
      <c r="T329" s="85"/>
      <c r="U329" s="85"/>
      <c r="V329" s="85"/>
      <c r="W329" s="85"/>
    </row>
    <row r="330" spans="1:23" s="33" customFormat="1" ht="13.8" x14ac:dyDescent="0.25">
      <c r="A330" s="34"/>
      <c r="B330" s="35"/>
      <c r="C330" s="40">
        <v>2</v>
      </c>
      <c r="D330" s="40">
        <v>0.3</v>
      </c>
      <c r="E330" s="40">
        <v>0.35</v>
      </c>
      <c r="F330" s="40">
        <v>0.7</v>
      </c>
      <c r="G330" s="40"/>
      <c r="H330" s="40"/>
      <c r="I330" s="40">
        <f t="shared" si="37"/>
        <v>7.3499999999999982E-2</v>
      </c>
      <c r="J330" s="40">
        <f t="shared" si="38"/>
        <v>7.3499999999999982E-2</v>
      </c>
      <c r="K330" s="40">
        <f t="shared" si="39"/>
        <v>0.14699999999999996</v>
      </c>
      <c r="L330" s="40"/>
      <c r="M330" s="59"/>
      <c r="N330" s="97"/>
      <c r="O330" s="32"/>
      <c r="P330" s="85"/>
      <c r="Q330" s="126"/>
      <c r="R330" s="126"/>
      <c r="S330" s="126"/>
      <c r="T330" s="85"/>
      <c r="U330" s="85"/>
      <c r="V330" s="85"/>
      <c r="W330" s="85"/>
    </row>
    <row r="331" spans="1:23" s="33" customFormat="1" ht="13.8" x14ac:dyDescent="0.25">
      <c r="A331" s="34"/>
      <c r="B331" s="35"/>
      <c r="C331" s="40">
        <v>2</v>
      </c>
      <c r="D331" s="40">
        <v>0.3</v>
      </c>
      <c r="E331" s="40">
        <v>0.45</v>
      </c>
      <c r="F331" s="40">
        <v>0.7</v>
      </c>
      <c r="G331" s="40"/>
      <c r="H331" s="40"/>
      <c r="I331" s="40">
        <f t="shared" si="37"/>
        <v>9.4500000000000001E-2</v>
      </c>
      <c r="J331" s="40">
        <f t="shared" si="38"/>
        <v>9.4500000000000001E-2</v>
      </c>
      <c r="K331" s="40">
        <f t="shared" si="39"/>
        <v>0.189</v>
      </c>
      <c r="L331" s="40"/>
      <c r="M331" s="59"/>
      <c r="N331" s="97"/>
      <c r="O331" s="32"/>
      <c r="P331" s="85"/>
      <c r="Q331" s="126"/>
      <c r="R331" s="126"/>
      <c r="S331" s="126"/>
      <c r="T331" s="85"/>
      <c r="U331" s="85"/>
      <c r="V331" s="85"/>
      <c r="W331" s="85"/>
    </row>
    <row r="332" spans="1:23" s="33" customFormat="1" ht="13.8" x14ac:dyDescent="0.25">
      <c r="A332" s="34"/>
      <c r="B332" s="35"/>
      <c r="C332" s="40">
        <v>1</v>
      </c>
      <c r="D332" s="40">
        <v>0.33</v>
      </c>
      <c r="E332" s="40">
        <v>0.45</v>
      </c>
      <c r="F332" s="40">
        <v>0.7</v>
      </c>
      <c r="G332" s="40"/>
      <c r="H332" s="40"/>
      <c r="I332" s="40">
        <f t="shared" si="37"/>
        <v>0.10395</v>
      </c>
      <c r="J332" s="40">
        <f t="shared" si="38"/>
        <v>0.10395</v>
      </c>
      <c r="K332" s="40">
        <f t="shared" si="39"/>
        <v>0.10395</v>
      </c>
      <c r="L332" s="40"/>
      <c r="M332" s="59"/>
      <c r="N332" s="97"/>
      <c r="O332" s="32"/>
      <c r="P332" s="85"/>
      <c r="Q332" s="126"/>
      <c r="R332" s="126"/>
      <c r="S332" s="126"/>
      <c r="T332" s="85"/>
      <c r="U332" s="85"/>
      <c r="V332" s="85"/>
      <c r="W332" s="85"/>
    </row>
    <row r="333" spans="1:23" s="33" customFormat="1" ht="13.8" x14ac:dyDescent="0.25">
      <c r="A333" s="34"/>
      <c r="B333" s="35"/>
      <c r="C333" s="40">
        <v>2</v>
      </c>
      <c r="D333" s="40">
        <v>0.3</v>
      </c>
      <c r="E333" s="40">
        <v>0.5</v>
      </c>
      <c r="F333" s="40">
        <v>0.7</v>
      </c>
      <c r="G333" s="40"/>
      <c r="H333" s="40"/>
      <c r="I333" s="40">
        <f t="shared" si="37"/>
        <v>0.105</v>
      </c>
      <c r="J333" s="40">
        <f t="shared" si="38"/>
        <v>0.105</v>
      </c>
      <c r="K333" s="40">
        <f t="shared" si="39"/>
        <v>0.21</v>
      </c>
      <c r="L333" s="40"/>
      <c r="M333" s="59"/>
      <c r="N333" s="97"/>
      <c r="O333" s="32"/>
      <c r="P333" s="85"/>
      <c r="Q333" s="126"/>
      <c r="R333" s="126"/>
      <c r="S333" s="126"/>
      <c r="T333" s="85"/>
      <c r="U333" s="85"/>
      <c r="V333" s="85"/>
      <c r="W333" s="85"/>
    </row>
    <row r="334" spans="1:23" s="33" customFormat="1" ht="13.8" x14ac:dyDescent="0.25">
      <c r="A334" s="34"/>
      <c r="B334" s="35"/>
      <c r="C334" s="40">
        <v>2</v>
      </c>
      <c r="D334" s="40">
        <v>0.4</v>
      </c>
      <c r="E334" s="40">
        <v>0.4</v>
      </c>
      <c r="F334" s="40">
        <v>0.7</v>
      </c>
      <c r="G334" s="40"/>
      <c r="H334" s="40"/>
      <c r="I334" s="40">
        <f t="shared" si="37"/>
        <v>0.11199999999999999</v>
      </c>
      <c r="J334" s="40">
        <f t="shared" si="38"/>
        <v>0.11199999999999999</v>
      </c>
      <c r="K334" s="40">
        <f t="shared" si="39"/>
        <v>0.22399999999999998</v>
      </c>
      <c r="L334" s="40"/>
      <c r="M334" s="59"/>
      <c r="N334" s="97"/>
      <c r="O334" s="32"/>
      <c r="P334" s="85"/>
      <c r="Q334" s="126"/>
      <c r="R334" s="126"/>
      <c r="S334" s="126"/>
      <c r="T334" s="85"/>
      <c r="U334" s="85"/>
      <c r="V334" s="85"/>
      <c r="W334" s="85"/>
    </row>
    <row r="335" spans="1:23" s="33" customFormat="1" ht="13.8" x14ac:dyDescent="0.25">
      <c r="A335" s="34"/>
      <c r="B335" s="35"/>
      <c r="C335" s="40">
        <v>5</v>
      </c>
      <c r="D335" s="40">
        <v>0.5</v>
      </c>
      <c r="E335" s="40">
        <v>0.5</v>
      </c>
      <c r="F335" s="40">
        <v>0.7</v>
      </c>
      <c r="G335" s="40"/>
      <c r="H335" s="40"/>
      <c r="I335" s="40">
        <f t="shared" si="37"/>
        <v>0.17499999999999999</v>
      </c>
      <c r="J335" s="40">
        <f t="shared" si="38"/>
        <v>0.17499999999999999</v>
      </c>
      <c r="K335" s="40">
        <f t="shared" si="39"/>
        <v>0.875</v>
      </c>
      <c r="L335" s="40"/>
      <c r="M335" s="59"/>
      <c r="N335" s="97"/>
      <c r="O335" s="32"/>
      <c r="P335" s="85"/>
      <c r="Q335" s="126"/>
      <c r="R335" s="126"/>
      <c r="S335" s="126"/>
      <c r="T335" s="85"/>
      <c r="U335" s="85"/>
      <c r="V335" s="85"/>
      <c r="W335" s="85"/>
    </row>
    <row r="336" spans="1:23" s="33" customFormat="1" ht="13.8" x14ac:dyDescent="0.25">
      <c r="A336" s="34"/>
      <c r="B336" s="35"/>
      <c r="C336" s="59">
        <f>+SUM(C323:C335)</f>
        <v>41</v>
      </c>
      <c r="D336" s="40"/>
      <c r="E336" s="40"/>
      <c r="F336" s="40"/>
      <c r="G336" s="40"/>
      <c r="H336" s="40"/>
      <c r="I336" s="40"/>
      <c r="J336" s="40"/>
      <c r="K336" s="40"/>
      <c r="L336" s="40"/>
      <c r="M336" s="59"/>
      <c r="N336" s="97"/>
      <c r="O336" s="32"/>
      <c r="P336" s="85"/>
      <c r="Q336" s="126"/>
      <c r="R336" s="126"/>
      <c r="S336" s="126"/>
      <c r="T336" s="85"/>
      <c r="U336" s="85"/>
      <c r="V336" s="85"/>
      <c r="W336" s="85"/>
    </row>
    <row r="337" spans="1:23" s="33" customFormat="1" ht="13.8" x14ac:dyDescent="0.25">
      <c r="A337" s="34"/>
      <c r="B337" s="164" t="s">
        <v>387</v>
      </c>
      <c r="C337" s="40"/>
      <c r="D337" s="40"/>
      <c r="E337" s="40"/>
      <c r="F337" s="40"/>
      <c r="G337" s="40"/>
      <c r="H337" s="40"/>
      <c r="I337" s="40"/>
      <c r="J337" s="40"/>
      <c r="K337" s="172">
        <f>+SUM(K339:K369)</f>
        <v>47.744000000000007</v>
      </c>
      <c r="L337" s="167"/>
      <c r="M337" s="59"/>
      <c r="N337" s="97"/>
      <c r="O337" s="32"/>
      <c r="P337" s="85"/>
      <c r="Q337" s="126"/>
      <c r="R337" s="126"/>
      <c r="S337" s="126"/>
      <c r="T337" s="85"/>
      <c r="U337" s="85"/>
      <c r="V337" s="85"/>
      <c r="W337" s="85"/>
    </row>
    <row r="338" spans="1:23" s="33" customFormat="1" ht="13.8" x14ac:dyDescent="0.25">
      <c r="A338" s="34"/>
      <c r="B338" s="58" t="s">
        <v>203</v>
      </c>
      <c r="C338" s="40"/>
      <c r="D338" s="40"/>
      <c r="E338" s="40"/>
      <c r="F338" s="40"/>
      <c r="G338" s="40"/>
      <c r="H338" s="40"/>
      <c r="I338" s="40"/>
      <c r="J338" s="40"/>
      <c r="K338" s="59"/>
      <c r="L338" s="59"/>
      <c r="M338" s="59"/>
      <c r="N338" s="97"/>
      <c r="O338" s="32"/>
      <c r="P338" s="85"/>
      <c r="Q338" s="126"/>
      <c r="R338" s="126"/>
      <c r="S338" s="126"/>
      <c r="T338" s="85"/>
      <c r="U338" s="85"/>
      <c r="V338" s="85"/>
      <c r="W338" s="85"/>
    </row>
    <row r="339" spans="1:23" s="33" customFormat="1" ht="13.8" x14ac:dyDescent="0.25">
      <c r="A339" s="34"/>
      <c r="B339" s="35" t="s">
        <v>493</v>
      </c>
      <c r="C339" s="40">
        <v>1</v>
      </c>
      <c r="D339" s="40">
        <v>14.9</v>
      </c>
      <c r="E339" s="40">
        <v>0.2</v>
      </c>
      <c r="F339" s="40">
        <v>0.4</v>
      </c>
      <c r="G339" s="40"/>
      <c r="H339" s="40"/>
      <c r="I339" s="40">
        <f t="shared" ref="I339:I356" si="40">+F339*E339*D339</f>
        <v>1.1920000000000002</v>
      </c>
      <c r="J339" s="40">
        <f t="shared" ref="J339:J356" si="41">+I339</f>
        <v>1.1920000000000002</v>
      </c>
      <c r="K339" s="40">
        <f t="shared" ref="K339:K356" si="42">+J339*C339</f>
        <v>1.1920000000000002</v>
      </c>
      <c r="L339" s="131"/>
      <c r="M339" s="59"/>
      <c r="N339" s="97"/>
      <c r="O339" s="32"/>
      <c r="P339" s="85"/>
      <c r="Q339" s="126"/>
      <c r="R339" s="126"/>
      <c r="S339" s="126"/>
      <c r="T339" s="85"/>
      <c r="U339" s="85"/>
      <c r="V339" s="85"/>
      <c r="W339" s="85"/>
    </row>
    <row r="340" spans="1:23" s="33" customFormat="1" ht="13.8" x14ac:dyDescent="0.25">
      <c r="A340" s="34"/>
      <c r="B340" s="35" t="s">
        <v>494</v>
      </c>
      <c r="C340" s="40">
        <v>1</v>
      </c>
      <c r="D340" s="40">
        <v>6.9</v>
      </c>
      <c r="E340" s="40">
        <v>0.2</v>
      </c>
      <c r="F340" s="40">
        <v>0.3</v>
      </c>
      <c r="G340" s="40"/>
      <c r="H340" s="40"/>
      <c r="I340" s="40">
        <f t="shared" si="40"/>
        <v>0.41399999999999998</v>
      </c>
      <c r="J340" s="40">
        <f t="shared" si="41"/>
        <v>0.41399999999999998</v>
      </c>
      <c r="K340" s="40">
        <f t="shared" si="42"/>
        <v>0.41399999999999998</v>
      </c>
      <c r="L340" s="131"/>
      <c r="M340" s="59"/>
      <c r="N340" s="97"/>
      <c r="O340" s="32"/>
      <c r="P340" s="85"/>
      <c r="Q340" s="126"/>
      <c r="R340" s="126"/>
      <c r="S340" s="126"/>
      <c r="T340" s="85"/>
      <c r="U340" s="85"/>
      <c r="V340" s="85"/>
      <c r="W340" s="85"/>
    </row>
    <row r="341" spans="1:23" s="33" customFormat="1" ht="13.8" x14ac:dyDescent="0.25">
      <c r="A341" s="34"/>
      <c r="B341" s="35" t="s">
        <v>206</v>
      </c>
      <c r="C341" s="40">
        <v>1</v>
      </c>
      <c r="D341" s="40">
        <v>6.9</v>
      </c>
      <c r="E341" s="40">
        <v>0.2</v>
      </c>
      <c r="F341" s="40">
        <v>0.3</v>
      </c>
      <c r="G341" s="40"/>
      <c r="H341" s="40"/>
      <c r="I341" s="40">
        <f t="shared" si="40"/>
        <v>0.41399999999999998</v>
      </c>
      <c r="J341" s="40">
        <f t="shared" si="41"/>
        <v>0.41399999999999998</v>
      </c>
      <c r="K341" s="40">
        <f t="shared" si="42"/>
        <v>0.41399999999999998</v>
      </c>
      <c r="L341" s="131"/>
      <c r="M341" s="59"/>
      <c r="N341" s="97"/>
      <c r="O341" s="32"/>
      <c r="P341" s="85"/>
      <c r="Q341" s="126"/>
      <c r="R341" s="126"/>
      <c r="S341" s="126"/>
      <c r="T341" s="85"/>
      <c r="U341" s="85"/>
      <c r="V341" s="85"/>
      <c r="W341" s="85"/>
    </row>
    <row r="342" spans="1:23" s="33" customFormat="1" ht="13.8" x14ac:dyDescent="0.25">
      <c r="A342" s="34"/>
      <c r="B342" s="35" t="s">
        <v>495</v>
      </c>
      <c r="C342" s="40">
        <v>1</v>
      </c>
      <c r="D342" s="40">
        <v>7.9</v>
      </c>
      <c r="E342" s="40">
        <v>0.2</v>
      </c>
      <c r="F342" s="40">
        <v>0.3</v>
      </c>
      <c r="G342" s="40"/>
      <c r="H342" s="40"/>
      <c r="I342" s="40">
        <f t="shared" si="40"/>
        <v>0.47399999999999998</v>
      </c>
      <c r="J342" s="40">
        <f t="shared" si="41"/>
        <v>0.47399999999999998</v>
      </c>
      <c r="K342" s="40">
        <f t="shared" si="42"/>
        <v>0.47399999999999998</v>
      </c>
      <c r="L342" s="131"/>
      <c r="M342" s="59"/>
      <c r="N342" s="97"/>
      <c r="O342" s="32"/>
      <c r="P342" s="85"/>
      <c r="Q342" s="126"/>
      <c r="R342" s="126"/>
      <c r="S342" s="126"/>
      <c r="T342" s="85"/>
      <c r="U342" s="85"/>
      <c r="V342" s="85"/>
      <c r="W342" s="85"/>
    </row>
    <row r="343" spans="1:23" s="33" customFormat="1" ht="13.8" x14ac:dyDescent="0.25">
      <c r="A343" s="34"/>
      <c r="B343" s="35" t="s">
        <v>496</v>
      </c>
      <c r="C343" s="40">
        <v>1</v>
      </c>
      <c r="D343" s="40">
        <v>14.7</v>
      </c>
      <c r="E343" s="40">
        <v>0.2</v>
      </c>
      <c r="F343" s="40">
        <v>0.3</v>
      </c>
      <c r="G343" s="40"/>
      <c r="H343" s="40"/>
      <c r="I343" s="40">
        <f t="shared" si="40"/>
        <v>0.8819999999999999</v>
      </c>
      <c r="J343" s="40">
        <f t="shared" si="41"/>
        <v>0.8819999999999999</v>
      </c>
      <c r="K343" s="40">
        <f t="shared" si="42"/>
        <v>0.8819999999999999</v>
      </c>
      <c r="L343" s="131"/>
      <c r="M343" s="59"/>
      <c r="N343" s="97"/>
      <c r="O343" s="32"/>
      <c r="P343" s="85"/>
      <c r="Q343" s="126"/>
      <c r="R343" s="126"/>
      <c r="S343" s="126"/>
      <c r="T343" s="85"/>
      <c r="U343" s="85"/>
      <c r="V343" s="85"/>
      <c r="W343" s="85"/>
    </row>
    <row r="344" spans="1:23" s="33" customFormat="1" ht="13.8" x14ac:dyDescent="0.25">
      <c r="A344" s="34"/>
      <c r="B344" s="35" t="s">
        <v>207</v>
      </c>
      <c r="C344" s="40">
        <v>1</v>
      </c>
      <c r="D344" s="40">
        <v>2.9</v>
      </c>
      <c r="E344" s="40">
        <v>0.2</v>
      </c>
      <c r="F344" s="40">
        <v>0.3</v>
      </c>
      <c r="G344" s="40"/>
      <c r="H344" s="40"/>
      <c r="I344" s="40">
        <f t="shared" si="40"/>
        <v>0.17399999999999999</v>
      </c>
      <c r="J344" s="40">
        <f t="shared" si="41"/>
        <v>0.17399999999999999</v>
      </c>
      <c r="K344" s="40">
        <f t="shared" si="42"/>
        <v>0.17399999999999999</v>
      </c>
      <c r="L344" s="131"/>
      <c r="M344" s="59"/>
      <c r="N344" s="97"/>
      <c r="O344" s="32"/>
      <c r="P344" s="85"/>
      <c r="Q344" s="126"/>
      <c r="R344" s="126"/>
      <c r="S344" s="126"/>
      <c r="T344" s="85"/>
      <c r="U344" s="85"/>
      <c r="V344" s="85"/>
      <c r="W344" s="85"/>
    </row>
    <row r="345" spans="1:23" s="33" customFormat="1" ht="13.8" x14ac:dyDescent="0.25">
      <c r="A345" s="34"/>
      <c r="B345" s="35" t="s">
        <v>497</v>
      </c>
      <c r="C345" s="40">
        <v>1</v>
      </c>
      <c r="D345" s="40">
        <v>14.6</v>
      </c>
      <c r="E345" s="40">
        <v>0.2</v>
      </c>
      <c r="F345" s="40">
        <v>0.3</v>
      </c>
      <c r="G345" s="40"/>
      <c r="H345" s="40"/>
      <c r="I345" s="40">
        <f t="shared" si="40"/>
        <v>0.876</v>
      </c>
      <c r="J345" s="40">
        <f t="shared" si="41"/>
        <v>0.876</v>
      </c>
      <c r="K345" s="40">
        <f t="shared" si="42"/>
        <v>0.876</v>
      </c>
      <c r="L345" s="131"/>
      <c r="M345" s="59"/>
      <c r="N345" s="97"/>
      <c r="O345" s="32"/>
      <c r="P345" s="85"/>
      <c r="Q345" s="126"/>
      <c r="R345" s="126"/>
      <c r="S345" s="126"/>
      <c r="T345" s="85"/>
      <c r="U345" s="85"/>
      <c r="V345" s="85"/>
      <c r="W345" s="85"/>
    </row>
    <row r="346" spans="1:23" s="33" customFormat="1" ht="13.8" x14ac:dyDescent="0.25">
      <c r="A346" s="34"/>
      <c r="B346" s="35" t="s">
        <v>498</v>
      </c>
      <c r="C346" s="40">
        <v>1</v>
      </c>
      <c r="D346" s="40">
        <v>5.7</v>
      </c>
      <c r="E346" s="40">
        <v>0.2</v>
      </c>
      <c r="F346" s="40">
        <v>0.3</v>
      </c>
      <c r="G346" s="40"/>
      <c r="H346" s="40"/>
      <c r="I346" s="40">
        <f t="shared" si="40"/>
        <v>0.34199999999999997</v>
      </c>
      <c r="J346" s="40">
        <f t="shared" si="41"/>
        <v>0.34199999999999997</v>
      </c>
      <c r="K346" s="40">
        <f t="shared" si="42"/>
        <v>0.34199999999999997</v>
      </c>
      <c r="L346" s="131"/>
      <c r="M346" s="59"/>
      <c r="N346" s="97"/>
      <c r="O346" s="32"/>
      <c r="P346" s="85"/>
      <c r="Q346" s="126"/>
      <c r="R346" s="126"/>
      <c r="S346" s="126"/>
      <c r="T346" s="85"/>
      <c r="U346" s="85"/>
      <c r="V346" s="85"/>
      <c r="W346" s="85"/>
    </row>
    <row r="347" spans="1:23" s="33" customFormat="1" ht="13.8" x14ac:dyDescent="0.25">
      <c r="A347" s="34"/>
      <c r="B347" s="35" t="s">
        <v>499</v>
      </c>
      <c r="C347" s="40">
        <v>1</v>
      </c>
      <c r="D347" s="40">
        <v>11.5</v>
      </c>
      <c r="E347" s="40">
        <v>0.2</v>
      </c>
      <c r="F347" s="40">
        <v>0.3</v>
      </c>
      <c r="G347" s="40"/>
      <c r="H347" s="40"/>
      <c r="I347" s="40">
        <f t="shared" si="40"/>
        <v>0.69</v>
      </c>
      <c r="J347" s="40">
        <f t="shared" si="41"/>
        <v>0.69</v>
      </c>
      <c r="K347" s="40">
        <f t="shared" si="42"/>
        <v>0.69</v>
      </c>
      <c r="L347" s="131"/>
      <c r="M347" s="59"/>
      <c r="N347" s="97"/>
      <c r="O347" s="32"/>
      <c r="P347" s="85"/>
      <c r="Q347" s="126"/>
      <c r="R347" s="126"/>
      <c r="S347" s="126"/>
      <c r="T347" s="85"/>
      <c r="U347" s="85"/>
      <c r="V347" s="85"/>
      <c r="W347" s="85"/>
    </row>
    <row r="348" spans="1:23" s="33" customFormat="1" ht="13.8" x14ac:dyDescent="0.25">
      <c r="A348" s="34"/>
      <c r="B348" s="35" t="s">
        <v>500</v>
      </c>
      <c r="C348" s="40">
        <v>1</v>
      </c>
      <c r="D348" s="40">
        <v>9</v>
      </c>
      <c r="E348" s="40">
        <v>0.2</v>
      </c>
      <c r="F348" s="40">
        <v>0.3</v>
      </c>
      <c r="G348" s="40"/>
      <c r="H348" s="40"/>
      <c r="I348" s="40">
        <f t="shared" si="40"/>
        <v>0.54</v>
      </c>
      <c r="J348" s="40">
        <f t="shared" si="41"/>
        <v>0.54</v>
      </c>
      <c r="K348" s="40">
        <f t="shared" si="42"/>
        <v>0.54</v>
      </c>
      <c r="L348" s="131"/>
      <c r="M348" s="59"/>
      <c r="N348" s="97"/>
      <c r="O348" s="32"/>
      <c r="P348" s="85"/>
      <c r="Q348" s="126"/>
      <c r="R348" s="126"/>
      <c r="S348" s="126"/>
      <c r="T348" s="85"/>
      <c r="U348" s="85"/>
      <c r="V348" s="85"/>
      <c r="W348" s="85"/>
    </row>
    <row r="349" spans="1:23" s="33" customFormat="1" ht="13.8" x14ac:dyDescent="0.25">
      <c r="A349" s="34"/>
      <c r="B349" s="35" t="s">
        <v>501</v>
      </c>
      <c r="C349" s="40">
        <v>1</v>
      </c>
      <c r="D349" s="40">
        <v>13.9</v>
      </c>
      <c r="E349" s="40">
        <v>0.2</v>
      </c>
      <c r="F349" s="40">
        <v>0.3</v>
      </c>
      <c r="G349" s="40"/>
      <c r="H349" s="40"/>
      <c r="I349" s="40">
        <f t="shared" si="40"/>
        <v>0.83399999999999996</v>
      </c>
      <c r="J349" s="40">
        <f t="shared" si="41"/>
        <v>0.83399999999999996</v>
      </c>
      <c r="K349" s="40">
        <f t="shared" si="42"/>
        <v>0.83399999999999996</v>
      </c>
      <c r="L349" s="131"/>
      <c r="M349" s="59"/>
      <c r="N349" s="97"/>
      <c r="O349" s="32"/>
      <c r="P349" s="85"/>
      <c r="Q349" s="126"/>
      <c r="R349" s="126"/>
      <c r="S349" s="126"/>
      <c r="T349" s="85"/>
      <c r="U349" s="85"/>
      <c r="V349" s="85"/>
      <c r="W349" s="85"/>
    </row>
    <row r="350" spans="1:23" s="33" customFormat="1" ht="13.8" x14ac:dyDescent="0.25">
      <c r="A350" s="34"/>
      <c r="B350" s="35" t="s">
        <v>502</v>
      </c>
      <c r="C350" s="40">
        <v>1</v>
      </c>
      <c r="D350" s="40">
        <v>8.6999999999999993</v>
      </c>
      <c r="E350" s="40">
        <v>0.2</v>
      </c>
      <c r="F350" s="40">
        <v>0.3</v>
      </c>
      <c r="G350" s="40"/>
      <c r="H350" s="40"/>
      <c r="I350" s="40">
        <f t="shared" si="40"/>
        <v>0.52199999999999991</v>
      </c>
      <c r="J350" s="40">
        <f t="shared" si="41"/>
        <v>0.52199999999999991</v>
      </c>
      <c r="K350" s="40">
        <f t="shared" si="42"/>
        <v>0.52199999999999991</v>
      </c>
      <c r="L350" s="131"/>
      <c r="M350" s="59"/>
      <c r="N350" s="97"/>
      <c r="O350" s="32"/>
      <c r="P350" s="85"/>
      <c r="Q350" s="126"/>
      <c r="R350" s="126"/>
      <c r="S350" s="126"/>
      <c r="T350" s="85"/>
      <c r="U350" s="85"/>
      <c r="V350" s="85"/>
      <c r="W350" s="85"/>
    </row>
    <row r="351" spans="1:23" s="33" customFormat="1" ht="13.8" x14ac:dyDescent="0.25">
      <c r="A351" s="34"/>
      <c r="B351" s="35" t="s">
        <v>208</v>
      </c>
      <c r="C351" s="40">
        <v>1</v>
      </c>
      <c r="D351" s="40">
        <v>8.6999999999999993</v>
      </c>
      <c r="E351" s="40">
        <v>0.2</v>
      </c>
      <c r="F351" s="40">
        <v>0.3</v>
      </c>
      <c r="G351" s="40"/>
      <c r="H351" s="40"/>
      <c r="I351" s="40">
        <f t="shared" si="40"/>
        <v>0.52199999999999991</v>
      </c>
      <c r="J351" s="40">
        <f t="shared" si="41"/>
        <v>0.52199999999999991</v>
      </c>
      <c r="K351" s="40">
        <f t="shared" si="42"/>
        <v>0.52199999999999991</v>
      </c>
      <c r="L351" s="131"/>
      <c r="M351" s="59"/>
      <c r="N351" s="97"/>
      <c r="O351" s="32"/>
      <c r="P351" s="85"/>
      <c r="Q351" s="126"/>
      <c r="R351" s="126"/>
      <c r="S351" s="126"/>
      <c r="T351" s="85"/>
      <c r="U351" s="85"/>
      <c r="V351" s="85"/>
      <c r="W351" s="85"/>
    </row>
    <row r="352" spans="1:23" s="33" customFormat="1" ht="13.8" x14ac:dyDescent="0.25">
      <c r="A352" s="34"/>
      <c r="B352" s="35" t="s">
        <v>209</v>
      </c>
      <c r="C352" s="40">
        <v>1</v>
      </c>
      <c r="D352" s="40">
        <v>10.3</v>
      </c>
      <c r="E352" s="40">
        <v>0.2</v>
      </c>
      <c r="F352" s="40">
        <v>0.3</v>
      </c>
      <c r="G352" s="40"/>
      <c r="H352" s="40"/>
      <c r="I352" s="40">
        <f t="shared" si="40"/>
        <v>0.61799999999999999</v>
      </c>
      <c r="J352" s="40">
        <f t="shared" si="41"/>
        <v>0.61799999999999999</v>
      </c>
      <c r="K352" s="40">
        <f t="shared" si="42"/>
        <v>0.61799999999999999</v>
      </c>
      <c r="L352" s="131"/>
      <c r="M352" s="59"/>
      <c r="N352" s="97"/>
      <c r="O352" s="32"/>
      <c r="P352" s="85"/>
      <c r="Q352" s="126"/>
      <c r="R352" s="126"/>
      <c r="S352" s="126"/>
      <c r="T352" s="85"/>
      <c r="U352" s="85"/>
      <c r="V352" s="85"/>
      <c r="W352" s="85"/>
    </row>
    <row r="353" spans="1:23" s="33" customFormat="1" ht="13.8" x14ac:dyDescent="0.25">
      <c r="A353" s="34"/>
      <c r="B353" s="35" t="s">
        <v>503</v>
      </c>
      <c r="C353" s="40">
        <v>1</v>
      </c>
      <c r="D353" s="40">
        <v>15.1</v>
      </c>
      <c r="E353" s="40">
        <v>0.2</v>
      </c>
      <c r="F353" s="40">
        <v>0.3</v>
      </c>
      <c r="G353" s="40"/>
      <c r="H353" s="40"/>
      <c r="I353" s="40">
        <f t="shared" si="40"/>
        <v>0.90599999999999992</v>
      </c>
      <c r="J353" s="40">
        <f t="shared" si="41"/>
        <v>0.90599999999999992</v>
      </c>
      <c r="K353" s="40">
        <f t="shared" si="42"/>
        <v>0.90599999999999992</v>
      </c>
      <c r="L353" s="131"/>
      <c r="M353" s="59"/>
      <c r="N353" s="97"/>
      <c r="O353" s="32"/>
      <c r="P353" s="85"/>
      <c r="Q353" s="126"/>
      <c r="R353" s="126"/>
      <c r="S353" s="126"/>
      <c r="T353" s="85"/>
      <c r="U353" s="85"/>
      <c r="V353" s="85"/>
      <c r="W353" s="85"/>
    </row>
    <row r="354" spans="1:23" s="33" customFormat="1" ht="13.8" x14ac:dyDescent="0.25">
      <c r="A354" s="34"/>
      <c r="B354" s="35" t="s">
        <v>211</v>
      </c>
      <c r="C354" s="40">
        <v>1</v>
      </c>
      <c r="D354" s="40">
        <v>4</v>
      </c>
      <c r="E354" s="40">
        <v>0.2</v>
      </c>
      <c r="F354" s="40">
        <v>0.3</v>
      </c>
      <c r="G354" s="40"/>
      <c r="H354" s="40"/>
      <c r="I354" s="40">
        <f t="shared" si="40"/>
        <v>0.24</v>
      </c>
      <c r="J354" s="40">
        <f t="shared" si="41"/>
        <v>0.24</v>
      </c>
      <c r="K354" s="40">
        <f t="shared" si="42"/>
        <v>0.24</v>
      </c>
      <c r="L354" s="131"/>
      <c r="M354" s="59"/>
      <c r="N354" s="97"/>
      <c r="O354" s="32"/>
      <c r="P354" s="85"/>
      <c r="Q354" s="126"/>
      <c r="R354" s="126"/>
      <c r="S354" s="126"/>
      <c r="T354" s="85"/>
      <c r="U354" s="85"/>
      <c r="V354" s="85"/>
      <c r="W354" s="85"/>
    </row>
    <row r="355" spans="1:23" s="33" customFormat="1" ht="13.8" x14ac:dyDescent="0.25">
      <c r="A355" s="34"/>
      <c r="B355" s="35" t="s">
        <v>504</v>
      </c>
      <c r="C355" s="40">
        <v>1</v>
      </c>
      <c r="D355" s="40">
        <v>8</v>
      </c>
      <c r="E355" s="40">
        <v>0.2</v>
      </c>
      <c r="F355" s="40">
        <v>0.3</v>
      </c>
      <c r="G355" s="40"/>
      <c r="H355" s="40"/>
      <c r="I355" s="40">
        <f t="shared" si="40"/>
        <v>0.48</v>
      </c>
      <c r="J355" s="40">
        <f t="shared" si="41"/>
        <v>0.48</v>
      </c>
      <c r="K355" s="40">
        <f t="shared" si="42"/>
        <v>0.48</v>
      </c>
      <c r="L355" s="131"/>
      <c r="M355" s="59"/>
      <c r="N355" s="97"/>
      <c r="O355" s="32"/>
      <c r="P355" s="85"/>
      <c r="Q355" s="126"/>
      <c r="R355" s="126"/>
      <c r="S355" s="126"/>
      <c r="T355" s="85"/>
      <c r="U355" s="85"/>
      <c r="V355" s="85"/>
      <c r="W355" s="85"/>
    </row>
    <row r="356" spans="1:23" s="33" customFormat="1" ht="13.8" x14ac:dyDescent="0.25">
      <c r="A356" s="34"/>
      <c r="B356" s="35" t="s">
        <v>505</v>
      </c>
      <c r="C356" s="40">
        <v>1</v>
      </c>
      <c r="D356" s="40">
        <v>9.4</v>
      </c>
      <c r="E356" s="40">
        <v>0.2</v>
      </c>
      <c r="F356" s="40">
        <v>0.3</v>
      </c>
      <c r="G356" s="40"/>
      <c r="H356" s="40"/>
      <c r="I356" s="40">
        <f t="shared" si="40"/>
        <v>0.56399999999999995</v>
      </c>
      <c r="J356" s="40">
        <f t="shared" si="41"/>
        <v>0.56399999999999995</v>
      </c>
      <c r="K356" s="40">
        <f t="shared" si="42"/>
        <v>0.56399999999999995</v>
      </c>
      <c r="L356" s="131"/>
      <c r="M356" s="59"/>
      <c r="N356" s="97"/>
      <c r="O356" s="32"/>
      <c r="P356" s="85"/>
      <c r="Q356" s="126"/>
      <c r="R356" s="126"/>
      <c r="S356" s="126"/>
      <c r="T356" s="85"/>
      <c r="U356" s="85"/>
      <c r="V356" s="85"/>
      <c r="W356" s="85"/>
    </row>
    <row r="357" spans="1:23" s="33" customFormat="1" ht="13.8" x14ac:dyDescent="0.25">
      <c r="A357" s="34"/>
      <c r="B357" s="58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59"/>
      <c r="N357" s="59"/>
      <c r="O357" s="32"/>
      <c r="P357" s="85"/>
      <c r="Q357" s="126"/>
      <c r="R357" s="126"/>
      <c r="S357" s="126"/>
      <c r="T357" s="85"/>
      <c r="U357" s="85"/>
      <c r="V357" s="85"/>
      <c r="W357" s="85"/>
    </row>
    <row r="358" spans="1:23" s="33" customFormat="1" ht="13.8" x14ac:dyDescent="0.25">
      <c r="A358" s="34"/>
      <c r="B358" s="327" t="s">
        <v>506</v>
      </c>
      <c r="C358" s="130"/>
      <c r="D358" s="130"/>
      <c r="E358" s="130"/>
      <c r="F358" s="130"/>
      <c r="G358" s="130"/>
      <c r="H358" s="130"/>
      <c r="I358" s="130"/>
      <c r="J358" s="130"/>
      <c r="K358" s="59"/>
      <c r="L358" s="59"/>
      <c r="M358" s="59"/>
      <c r="N358" s="97"/>
      <c r="O358" s="32"/>
      <c r="P358" s="85"/>
      <c r="Q358" s="126"/>
      <c r="R358" s="126"/>
      <c r="S358" s="126"/>
      <c r="T358" s="85"/>
      <c r="U358" s="85"/>
      <c r="V358" s="85"/>
      <c r="W358" s="85"/>
    </row>
    <row r="359" spans="1:23" s="33" customFormat="1" ht="13.8" x14ac:dyDescent="0.25">
      <c r="A359" s="34"/>
      <c r="B359" s="328" t="s">
        <v>506</v>
      </c>
      <c r="C359" s="130">
        <v>1</v>
      </c>
      <c r="D359" s="130"/>
      <c r="E359" s="130"/>
      <c r="F359" s="130">
        <v>0.14000000000000001</v>
      </c>
      <c r="G359" s="130"/>
      <c r="H359" s="130">
        <v>199.8</v>
      </c>
      <c r="I359" s="130">
        <f>+H359*F359</f>
        <v>27.972000000000005</v>
      </c>
      <c r="J359" s="130">
        <f>+I359</f>
        <v>27.972000000000005</v>
      </c>
      <c r="K359" s="130">
        <f>+J359*C359</f>
        <v>27.972000000000005</v>
      </c>
      <c r="L359" s="131"/>
      <c r="M359" s="59"/>
      <c r="N359" s="97"/>
      <c r="O359" s="32"/>
      <c r="P359" s="85"/>
      <c r="Q359" s="126"/>
      <c r="R359" s="126"/>
      <c r="S359" s="126"/>
      <c r="T359" s="85"/>
      <c r="U359" s="85"/>
      <c r="V359" s="85"/>
      <c r="W359" s="85"/>
    </row>
    <row r="360" spans="1:23" s="33" customFormat="1" ht="13.8" x14ac:dyDescent="0.25">
      <c r="A360" s="34"/>
      <c r="B360" s="35"/>
      <c r="C360" s="40"/>
      <c r="D360" s="40"/>
      <c r="E360" s="40"/>
      <c r="F360" s="40"/>
      <c r="G360" s="40"/>
      <c r="H360" s="40"/>
      <c r="I360" s="40"/>
      <c r="J360" s="40"/>
      <c r="K360" s="40"/>
      <c r="L360" s="131"/>
      <c r="M360" s="59"/>
      <c r="N360" s="97"/>
      <c r="O360" s="32"/>
      <c r="P360" s="85"/>
      <c r="Q360" s="126"/>
      <c r="R360" s="126"/>
      <c r="S360" s="126"/>
      <c r="T360" s="85"/>
      <c r="U360" s="85"/>
      <c r="V360" s="85"/>
      <c r="W360" s="85"/>
    </row>
    <row r="361" spans="1:23" s="33" customFormat="1" ht="13.8" x14ac:dyDescent="0.25">
      <c r="A361" s="34"/>
      <c r="B361" s="61" t="s">
        <v>105</v>
      </c>
      <c r="C361" s="40"/>
      <c r="D361" s="40"/>
      <c r="E361" s="40"/>
      <c r="F361" s="40"/>
      <c r="G361" s="40"/>
      <c r="H361" s="40"/>
      <c r="I361" s="40"/>
      <c r="J361" s="40"/>
      <c r="K361" s="40"/>
      <c r="L361" s="106"/>
      <c r="M361" s="59"/>
      <c r="N361" s="97"/>
      <c r="O361" s="32"/>
      <c r="P361" s="85"/>
      <c r="Q361" s="126"/>
      <c r="R361" s="126"/>
      <c r="S361" s="126"/>
      <c r="T361" s="85"/>
      <c r="U361" s="85"/>
      <c r="V361" s="85"/>
      <c r="W361" s="85"/>
    </row>
    <row r="362" spans="1:23" s="33" customFormat="1" ht="13.8" x14ac:dyDescent="0.25">
      <c r="A362" s="34"/>
      <c r="B362" s="35"/>
      <c r="C362" s="40">
        <v>19</v>
      </c>
      <c r="D362" s="40">
        <v>0.2</v>
      </c>
      <c r="E362" s="40">
        <v>0.25</v>
      </c>
      <c r="F362" s="40">
        <v>3.2</v>
      </c>
      <c r="G362" s="40"/>
      <c r="H362" s="40"/>
      <c r="I362" s="40">
        <f t="shared" ref="I362:I369" si="43">+F362*E362*D362</f>
        <v>0.16000000000000003</v>
      </c>
      <c r="J362" s="40">
        <f t="shared" ref="J362:J369" si="44">+I362</f>
        <v>0.16000000000000003</v>
      </c>
      <c r="K362" s="40">
        <f t="shared" ref="K362:K369" si="45">+J362*C362</f>
        <v>3.0400000000000005</v>
      </c>
      <c r="L362" s="40"/>
      <c r="M362" s="59"/>
      <c r="N362" s="97"/>
      <c r="O362" s="32"/>
      <c r="P362" s="85"/>
      <c r="Q362" s="126"/>
      <c r="R362" s="126"/>
      <c r="S362" s="126"/>
      <c r="T362" s="85"/>
      <c r="U362" s="85"/>
      <c r="V362" s="85"/>
      <c r="W362" s="85"/>
    </row>
    <row r="363" spans="1:23" s="33" customFormat="1" ht="13.8" x14ac:dyDescent="0.25">
      <c r="A363" s="34"/>
      <c r="B363" s="35"/>
      <c r="C363" s="40">
        <v>4</v>
      </c>
      <c r="D363" s="40">
        <v>0.2</v>
      </c>
      <c r="E363" s="40">
        <v>0.3</v>
      </c>
      <c r="F363" s="40">
        <v>3.2</v>
      </c>
      <c r="G363" s="40"/>
      <c r="H363" s="40"/>
      <c r="I363" s="40">
        <f t="shared" si="43"/>
        <v>0.192</v>
      </c>
      <c r="J363" s="40">
        <f t="shared" si="44"/>
        <v>0.192</v>
      </c>
      <c r="K363" s="40">
        <f t="shared" si="45"/>
        <v>0.76800000000000002</v>
      </c>
      <c r="L363" s="40"/>
      <c r="M363" s="59"/>
      <c r="N363" s="97"/>
      <c r="O363" s="32"/>
      <c r="P363" s="85"/>
      <c r="Q363" s="126"/>
      <c r="R363" s="126"/>
      <c r="S363" s="126"/>
      <c r="T363" s="85"/>
      <c r="U363" s="85"/>
      <c r="V363" s="85"/>
      <c r="W363" s="85"/>
    </row>
    <row r="364" spans="1:23" s="33" customFormat="1" ht="13.8" x14ac:dyDescent="0.25">
      <c r="A364" s="34"/>
      <c r="B364" s="35"/>
      <c r="C364" s="40">
        <v>4</v>
      </c>
      <c r="D364" s="40">
        <v>0.2</v>
      </c>
      <c r="E364" s="40">
        <v>0.35</v>
      </c>
      <c r="F364" s="40">
        <v>3.2</v>
      </c>
      <c r="G364" s="40"/>
      <c r="H364" s="40"/>
      <c r="I364" s="40">
        <f t="shared" si="43"/>
        <v>0.22399999999999998</v>
      </c>
      <c r="J364" s="40">
        <f t="shared" si="44"/>
        <v>0.22399999999999998</v>
      </c>
      <c r="K364" s="40">
        <f t="shared" si="45"/>
        <v>0.89599999999999991</v>
      </c>
      <c r="L364" s="40"/>
      <c r="M364" s="59"/>
      <c r="N364" s="97"/>
      <c r="O364" s="32"/>
      <c r="P364" s="85"/>
      <c r="Q364" s="126"/>
      <c r="R364" s="126"/>
      <c r="S364" s="126"/>
      <c r="T364" s="85"/>
      <c r="U364" s="85"/>
      <c r="V364" s="85"/>
      <c r="W364" s="85"/>
    </row>
    <row r="365" spans="1:23" s="33" customFormat="1" ht="13.8" x14ac:dyDescent="0.25">
      <c r="A365" s="34"/>
      <c r="B365" s="35"/>
      <c r="C365" s="40">
        <v>2</v>
      </c>
      <c r="D365" s="40">
        <v>0.2</v>
      </c>
      <c r="E365" s="40">
        <v>0.4</v>
      </c>
      <c r="F365" s="40">
        <v>3.2</v>
      </c>
      <c r="G365" s="40"/>
      <c r="H365" s="40"/>
      <c r="I365" s="40">
        <f t="shared" si="43"/>
        <v>0.25600000000000006</v>
      </c>
      <c r="J365" s="40">
        <f t="shared" si="44"/>
        <v>0.25600000000000006</v>
      </c>
      <c r="K365" s="40">
        <f t="shared" si="45"/>
        <v>0.51200000000000012</v>
      </c>
      <c r="L365" s="40"/>
      <c r="M365" s="59"/>
      <c r="N365" s="97"/>
      <c r="O365" s="32"/>
      <c r="P365" s="85"/>
      <c r="Q365" s="126"/>
      <c r="R365" s="126"/>
      <c r="S365" s="126"/>
      <c r="T365" s="85"/>
      <c r="U365" s="85"/>
      <c r="V365" s="85"/>
      <c r="W365" s="85"/>
    </row>
    <row r="366" spans="1:23" s="33" customFormat="1" ht="13.8" x14ac:dyDescent="0.25">
      <c r="A366" s="34"/>
      <c r="B366" s="35"/>
      <c r="C366" s="40">
        <v>4</v>
      </c>
      <c r="D366" s="40">
        <v>0.2</v>
      </c>
      <c r="E366" s="40">
        <v>0.45</v>
      </c>
      <c r="F366" s="40">
        <v>3.2</v>
      </c>
      <c r="G366" s="40"/>
      <c r="H366" s="40"/>
      <c r="I366" s="40">
        <f t="shared" si="43"/>
        <v>0.28800000000000003</v>
      </c>
      <c r="J366" s="40">
        <f t="shared" si="44"/>
        <v>0.28800000000000003</v>
      </c>
      <c r="K366" s="40">
        <f t="shared" si="45"/>
        <v>1.1520000000000001</v>
      </c>
      <c r="L366" s="40"/>
      <c r="M366" s="59"/>
      <c r="N366" s="97"/>
      <c r="O366" s="32"/>
      <c r="P366" s="85"/>
      <c r="Q366" s="126"/>
      <c r="R366" s="126"/>
      <c r="S366" s="126"/>
      <c r="T366" s="85"/>
      <c r="U366" s="85"/>
      <c r="V366" s="85"/>
      <c r="W366" s="85"/>
    </row>
    <row r="367" spans="1:23" s="33" customFormat="1" ht="13.8" x14ac:dyDescent="0.25">
      <c r="A367" s="34"/>
      <c r="B367" s="35"/>
      <c r="C367" s="40">
        <v>1</v>
      </c>
      <c r="D367" s="40">
        <v>0.2</v>
      </c>
      <c r="E367" s="40">
        <v>0.5</v>
      </c>
      <c r="F367" s="40">
        <v>3.2</v>
      </c>
      <c r="G367" s="40"/>
      <c r="H367" s="40"/>
      <c r="I367" s="40">
        <f t="shared" ref="I367" si="46">+F367*E367*D367</f>
        <v>0.32000000000000006</v>
      </c>
      <c r="J367" s="40">
        <f t="shared" ref="J367" si="47">+I367</f>
        <v>0.32000000000000006</v>
      </c>
      <c r="K367" s="40">
        <f t="shared" ref="K367" si="48">+J367*C367</f>
        <v>0.32000000000000006</v>
      </c>
      <c r="L367" s="40"/>
      <c r="M367" s="59"/>
      <c r="N367" s="97"/>
      <c r="O367" s="32"/>
      <c r="P367" s="85"/>
      <c r="Q367" s="126"/>
      <c r="R367" s="126"/>
      <c r="S367" s="126"/>
      <c r="T367" s="85"/>
      <c r="U367" s="85"/>
      <c r="V367" s="85"/>
      <c r="W367" s="85"/>
    </row>
    <row r="368" spans="1:23" s="33" customFormat="1" ht="13.8" x14ac:dyDescent="0.25">
      <c r="A368" s="34"/>
      <c r="B368" s="35"/>
      <c r="C368" s="40">
        <v>3</v>
      </c>
      <c r="D368" s="40">
        <v>0.3</v>
      </c>
      <c r="E368" s="40">
        <v>0.5</v>
      </c>
      <c r="F368" s="40">
        <v>3.2</v>
      </c>
      <c r="G368" s="40"/>
      <c r="H368" s="40"/>
      <c r="I368" s="40">
        <f t="shared" si="43"/>
        <v>0.48</v>
      </c>
      <c r="J368" s="40">
        <f t="shared" si="44"/>
        <v>0.48</v>
      </c>
      <c r="K368" s="40">
        <f t="shared" si="45"/>
        <v>1.44</v>
      </c>
      <c r="L368" s="40"/>
      <c r="M368" s="59"/>
      <c r="N368" s="97"/>
      <c r="O368" s="32"/>
      <c r="P368" s="85"/>
      <c r="Q368" s="126"/>
      <c r="R368" s="126"/>
      <c r="S368" s="126"/>
      <c r="T368" s="85"/>
      <c r="U368" s="85"/>
      <c r="V368" s="85"/>
      <c r="W368" s="85"/>
    </row>
    <row r="369" spans="1:23" s="33" customFormat="1" ht="13.8" x14ac:dyDescent="0.25">
      <c r="A369" s="34"/>
      <c r="B369" s="35"/>
      <c r="C369" s="40">
        <v>1</v>
      </c>
      <c r="D369" s="40">
        <v>0.3</v>
      </c>
      <c r="E369" s="40">
        <v>1</v>
      </c>
      <c r="F369" s="40">
        <v>3.2</v>
      </c>
      <c r="G369" s="40"/>
      <c r="H369" s="40"/>
      <c r="I369" s="40">
        <f t="shared" si="43"/>
        <v>0.96</v>
      </c>
      <c r="J369" s="40">
        <f t="shared" si="44"/>
        <v>0.96</v>
      </c>
      <c r="K369" s="40">
        <f t="shared" si="45"/>
        <v>0.96</v>
      </c>
      <c r="L369" s="40"/>
      <c r="M369" s="59"/>
      <c r="N369" s="97"/>
      <c r="O369" s="32"/>
      <c r="P369" s="85"/>
      <c r="Q369" s="126"/>
      <c r="R369" s="126"/>
      <c r="S369" s="126"/>
      <c r="T369" s="85"/>
      <c r="U369" s="85"/>
      <c r="V369" s="85"/>
      <c r="W369" s="85"/>
    </row>
    <row r="370" spans="1:23" s="33" customFormat="1" ht="13.8" x14ac:dyDescent="0.25">
      <c r="A370" s="34"/>
      <c r="B370" s="35"/>
      <c r="C370" s="59">
        <f>+SUM(C362:C369)</f>
        <v>38</v>
      </c>
      <c r="D370" s="40"/>
      <c r="E370" s="40"/>
      <c r="F370" s="40"/>
      <c r="G370" s="40"/>
      <c r="H370" s="40"/>
      <c r="I370" s="40"/>
      <c r="J370" s="40"/>
      <c r="K370" s="40"/>
      <c r="L370" s="40"/>
      <c r="M370" s="59"/>
      <c r="N370" s="97"/>
      <c r="O370" s="32"/>
      <c r="P370" s="85"/>
      <c r="Q370" s="126"/>
      <c r="R370" s="126"/>
      <c r="S370" s="126"/>
      <c r="T370" s="85"/>
      <c r="U370" s="85"/>
      <c r="V370" s="85"/>
      <c r="W370" s="85"/>
    </row>
    <row r="371" spans="1:23" s="33" customFormat="1" ht="13.8" x14ac:dyDescent="0.25">
      <c r="A371" s="34"/>
      <c r="B371" s="58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59"/>
      <c r="N371" s="59"/>
      <c r="O371" s="32"/>
      <c r="P371" s="85"/>
      <c r="Q371" s="126"/>
      <c r="R371" s="126"/>
      <c r="S371" s="126"/>
      <c r="T371" s="85"/>
      <c r="U371" s="85"/>
      <c r="V371" s="85"/>
      <c r="W371" s="85"/>
    </row>
    <row r="372" spans="1:23" s="33" customFormat="1" ht="13.8" x14ac:dyDescent="0.25">
      <c r="A372" s="34"/>
      <c r="B372" s="164" t="s">
        <v>388</v>
      </c>
      <c r="C372" s="40"/>
      <c r="D372" s="40"/>
      <c r="E372" s="40"/>
      <c r="F372" s="40"/>
      <c r="G372" s="40"/>
      <c r="H372" s="40"/>
      <c r="I372" s="40"/>
      <c r="J372" s="40"/>
      <c r="K372" s="172">
        <f>+SUM(K374:K404)</f>
        <v>47.744000000000007</v>
      </c>
      <c r="L372" s="167"/>
      <c r="M372" s="59"/>
      <c r="N372" s="97"/>
      <c r="O372" s="32"/>
      <c r="P372" s="85"/>
      <c r="Q372" s="126"/>
      <c r="R372" s="126"/>
      <c r="S372" s="126"/>
      <c r="T372" s="85"/>
      <c r="U372" s="85"/>
      <c r="V372" s="85"/>
      <c r="W372" s="85"/>
    </row>
    <row r="373" spans="1:23" s="33" customFormat="1" ht="13.8" x14ac:dyDescent="0.25">
      <c r="A373" s="34"/>
      <c r="B373" s="58" t="s">
        <v>203</v>
      </c>
      <c r="C373" s="40"/>
      <c r="D373" s="40"/>
      <c r="E373" s="40"/>
      <c r="F373" s="40"/>
      <c r="G373" s="40"/>
      <c r="H373" s="40"/>
      <c r="I373" s="40"/>
      <c r="J373" s="40"/>
      <c r="K373" s="59"/>
      <c r="L373" s="59"/>
      <c r="M373" s="59"/>
      <c r="N373" s="97"/>
      <c r="O373" s="32"/>
      <c r="P373" s="85"/>
      <c r="Q373" s="126"/>
      <c r="R373" s="126"/>
      <c r="S373" s="126"/>
      <c r="T373" s="85"/>
      <c r="U373" s="85"/>
      <c r="V373" s="85"/>
      <c r="W373" s="85"/>
    </row>
    <row r="374" spans="1:23" s="33" customFormat="1" ht="13.8" x14ac:dyDescent="0.25">
      <c r="A374" s="34"/>
      <c r="B374" s="35" t="s">
        <v>493</v>
      </c>
      <c r="C374" s="40">
        <v>1</v>
      </c>
      <c r="D374" s="40">
        <v>14.9</v>
      </c>
      <c r="E374" s="40">
        <v>0.2</v>
      </c>
      <c r="F374" s="40">
        <v>0.4</v>
      </c>
      <c r="G374" s="40"/>
      <c r="H374" s="40"/>
      <c r="I374" s="40">
        <f t="shared" ref="I374:I391" si="49">+F374*E374*D374</f>
        <v>1.1920000000000002</v>
      </c>
      <c r="J374" s="40">
        <f t="shared" ref="J374:J391" si="50">+I374</f>
        <v>1.1920000000000002</v>
      </c>
      <c r="K374" s="40">
        <f t="shared" ref="K374:K391" si="51">+J374*C374</f>
        <v>1.1920000000000002</v>
      </c>
      <c r="L374" s="131"/>
      <c r="M374" s="59"/>
      <c r="N374" s="97"/>
      <c r="O374" s="32"/>
      <c r="P374" s="85"/>
      <c r="Q374" s="126"/>
      <c r="R374" s="126"/>
      <c r="S374" s="126"/>
      <c r="T374" s="85"/>
      <c r="U374" s="85"/>
      <c r="V374" s="85"/>
      <c r="W374" s="85"/>
    </row>
    <row r="375" spans="1:23" s="33" customFormat="1" ht="13.8" x14ac:dyDescent="0.25">
      <c r="A375" s="34"/>
      <c r="B375" s="35" t="s">
        <v>494</v>
      </c>
      <c r="C375" s="40">
        <v>1</v>
      </c>
      <c r="D375" s="40">
        <v>6.9</v>
      </c>
      <c r="E375" s="40">
        <v>0.2</v>
      </c>
      <c r="F375" s="40">
        <v>0.3</v>
      </c>
      <c r="G375" s="40"/>
      <c r="H375" s="40"/>
      <c r="I375" s="40">
        <f t="shared" si="49"/>
        <v>0.41399999999999998</v>
      </c>
      <c r="J375" s="40">
        <f t="shared" si="50"/>
        <v>0.41399999999999998</v>
      </c>
      <c r="K375" s="40">
        <f t="shared" si="51"/>
        <v>0.41399999999999998</v>
      </c>
      <c r="L375" s="131"/>
      <c r="M375" s="59"/>
      <c r="N375" s="97"/>
      <c r="O375" s="32"/>
      <c r="P375" s="85"/>
      <c r="Q375" s="126"/>
      <c r="R375" s="126"/>
      <c r="S375" s="126"/>
      <c r="T375" s="85"/>
      <c r="U375" s="85"/>
      <c r="V375" s="85"/>
      <c r="W375" s="85"/>
    </row>
    <row r="376" spans="1:23" s="33" customFormat="1" ht="13.8" x14ac:dyDescent="0.25">
      <c r="A376" s="34"/>
      <c r="B376" s="35" t="s">
        <v>206</v>
      </c>
      <c r="C376" s="40">
        <v>1</v>
      </c>
      <c r="D376" s="40">
        <v>6.9</v>
      </c>
      <c r="E376" s="40">
        <v>0.2</v>
      </c>
      <c r="F376" s="40">
        <v>0.3</v>
      </c>
      <c r="G376" s="40"/>
      <c r="H376" s="40"/>
      <c r="I376" s="40">
        <f t="shared" si="49"/>
        <v>0.41399999999999998</v>
      </c>
      <c r="J376" s="40">
        <f t="shared" si="50"/>
        <v>0.41399999999999998</v>
      </c>
      <c r="K376" s="40">
        <f t="shared" si="51"/>
        <v>0.41399999999999998</v>
      </c>
      <c r="L376" s="131"/>
      <c r="M376" s="59"/>
      <c r="N376" s="97"/>
      <c r="O376" s="32"/>
      <c r="P376" s="85"/>
      <c r="Q376" s="126"/>
      <c r="R376" s="126"/>
      <c r="S376" s="126"/>
      <c r="T376" s="85"/>
      <c r="U376" s="85"/>
      <c r="V376" s="85"/>
      <c r="W376" s="85"/>
    </row>
    <row r="377" spans="1:23" s="33" customFormat="1" ht="13.8" x14ac:dyDescent="0.25">
      <c r="A377" s="34"/>
      <c r="B377" s="35" t="s">
        <v>495</v>
      </c>
      <c r="C377" s="40">
        <v>1</v>
      </c>
      <c r="D377" s="40">
        <v>7.9</v>
      </c>
      <c r="E377" s="40">
        <v>0.2</v>
      </c>
      <c r="F377" s="40">
        <v>0.3</v>
      </c>
      <c r="G377" s="40"/>
      <c r="H377" s="40"/>
      <c r="I377" s="40">
        <f t="shared" si="49"/>
        <v>0.47399999999999998</v>
      </c>
      <c r="J377" s="40">
        <f t="shared" si="50"/>
        <v>0.47399999999999998</v>
      </c>
      <c r="K377" s="40">
        <f t="shared" si="51"/>
        <v>0.47399999999999998</v>
      </c>
      <c r="L377" s="131"/>
      <c r="M377" s="59"/>
      <c r="N377" s="97"/>
      <c r="O377" s="32"/>
      <c r="P377" s="85"/>
      <c r="Q377" s="126"/>
      <c r="R377" s="126"/>
      <c r="S377" s="126"/>
      <c r="T377" s="85"/>
      <c r="U377" s="85"/>
      <c r="V377" s="85"/>
      <c r="W377" s="85"/>
    </row>
    <row r="378" spans="1:23" s="33" customFormat="1" ht="13.8" x14ac:dyDescent="0.25">
      <c r="A378" s="34"/>
      <c r="B378" s="35" t="s">
        <v>496</v>
      </c>
      <c r="C378" s="40">
        <v>1</v>
      </c>
      <c r="D378" s="40">
        <v>14.7</v>
      </c>
      <c r="E378" s="40">
        <v>0.2</v>
      </c>
      <c r="F378" s="40">
        <v>0.3</v>
      </c>
      <c r="G378" s="40"/>
      <c r="H378" s="40"/>
      <c r="I378" s="40">
        <f t="shared" si="49"/>
        <v>0.8819999999999999</v>
      </c>
      <c r="J378" s="40">
        <f t="shared" si="50"/>
        <v>0.8819999999999999</v>
      </c>
      <c r="K378" s="40">
        <f t="shared" si="51"/>
        <v>0.8819999999999999</v>
      </c>
      <c r="L378" s="131"/>
      <c r="M378" s="59"/>
      <c r="N378" s="97"/>
      <c r="O378" s="32"/>
      <c r="P378" s="85"/>
      <c r="Q378" s="126"/>
      <c r="R378" s="126"/>
      <c r="S378" s="126"/>
      <c r="T378" s="85"/>
      <c r="U378" s="85"/>
      <c r="V378" s="85"/>
      <c r="W378" s="85"/>
    </row>
    <row r="379" spans="1:23" s="33" customFormat="1" ht="13.8" x14ac:dyDescent="0.25">
      <c r="A379" s="34"/>
      <c r="B379" s="35" t="s">
        <v>207</v>
      </c>
      <c r="C379" s="40">
        <v>1</v>
      </c>
      <c r="D379" s="40">
        <v>2.9</v>
      </c>
      <c r="E379" s="40">
        <v>0.2</v>
      </c>
      <c r="F379" s="40">
        <v>0.3</v>
      </c>
      <c r="G379" s="40"/>
      <c r="H379" s="40"/>
      <c r="I379" s="40">
        <f t="shared" si="49"/>
        <v>0.17399999999999999</v>
      </c>
      <c r="J379" s="40">
        <f t="shared" si="50"/>
        <v>0.17399999999999999</v>
      </c>
      <c r="K379" s="40">
        <f t="shared" si="51"/>
        <v>0.17399999999999999</v>
      </c>
      <c r="L379" s="131"/>
      <c r="M379" s="59"/>
      <c r="N379" s="97"/>
      <c r="O379" s="32"/>
      <c r="P379" s="85"/>
      <c r="Q379" s="126"/>
      <c r="R379" s="126"/>
      <c r="S379" s="126"/>
      <c r="T379" s="85"/>
      <c r="U379" s="85"/>
      <c r="V379" s="85"/>
      <c r="W379" s="85"/>
    </row>
    <row r="380" spans="1:23" s="33" customFormat="1" ht="13.8" x14ac:dyDescent="0.25">
      <c r="A380" s="34"/>
      <c r="B380" s="35" t="s">
        <v>497</v>
      </c>
      <c r="C380" s="40">
        <v>1</v>
      </c>
      <c r="D380" s="40">
        <v>14.6</v>
      </c>
      <c r="E380" s="40">
        <v>0.2</v>
      </c>
      <c r="F380" s="40">
        <v>0.3</v>
      </c>
      <c r="G380" s="40"/>
      <c r="H380" s="40"/>
      <c r="I380" s="40">
        <f t="shared" si="49"/>
        <v>0.876</v>
      </c>
      <c r="J380" s="40">
        <f t="shared" si="50"/>
        <v>0.876</v>
      </c>
      <c r="K380" s="40">
        <f t="shared" si="51"/>
        <v>0.876</v>
      </c>
      <c r="L380" s="131"/>
      <c r="M380" s="59"/>
      <c r="N380" s="97"/>
      <c r="O380" s="32"/>
      <c r="P380" s="85"/>
      <c r="Q380" s="126"/>
      <c r="R380" s="126"/>
      <c r="S380" s="126"/>
      <c r="T380" s="85"/>
      <c r="U380" s="85"/>
      <c r="V380" s="85"/>
      <c r="W380" s="85"/>
    </row>
    <row r="381" spans="1:23" s="33" customFormat="1" ht="13.8" x14ac:dyDescent="0.25">
      <c r="A381" s="34"/>
      <c r="B381" s="35" t="s">
        <v>498</v>
      </c>
      <c r="C381" s="40">
        <v>1</v>
      </c>
      <c r="D381" s="40">
        <v>5.7</v>
      </c>
      <c r="E381" s="40">
        <v>0.2</v>
      </c>
      <c r="F381" s="40">
        <v>0.3</v>
      </c>
      <c r="G381" s="40"/>
      <c r="H381" s="40"/>
      <c r="I381" s="40">
        <f t="shared" si="49"/>
        <v>0.34199999999999997</v>
      </c>
      <c r="J381" s="40">
        <f t="shared" si="50"/>
        <v>0.34199999999999997</v>
      </c>
      <c r="K381" s="40">
        <f t="shared" si="51"/>
        <v>0.34199999999999997</v>
      </c>
      <c r="L381" s="131"/>
      <c r="M381" s="59"/>
      <c r="N381" s="97"/>
      <c r="O381" s="32"/>
      <c r="P381" s="85"/>
      <c r="Q381" s="126"/>
      <c r="R381" s="126"/>
      <c r="S381" s="126"/>
      <c r="T381" s="85"/>
      <c r="U381" s="85"/>
      <c r="V381" s="85"/>
      <c r="W381" s="85"/>
    </row>
    <row r="382" spans="1:23" s="33" customFormat="1" ht="13.8" x14ac:dyDescent="0.25">
      <c r="A382" s="34"/>
      <c r="B382" s="35" t="s">
        <v>499</v>
      </c>
      <c r="C382" s="40">
        <v>1</v>
      </c>
      <c r="D382" s="40">
        <v>11.5</v>
      </c>
      <c r="E382" s="40">
        <v>0.2</v>
      </c>
      <c r="F382" s="40">
        <v>0.3</v>
      </c>
      <c r="G382" s="40"/>
      <c r="H382" s="40"/>
      <c r="I382" s="40">
        <f t="shared" si="49"/>
        <v>0.69</v>
      </c>
      <c r="J382" s="40">
        <f t="shared" si="50"/>
        <v>0.69</v>
      </c>
      <c r="K382" s="40">
        <f t="shared" si="51"/>
        <v>0.69</v>
      </c>
      <c r="L382" s="131"/>
      <c r="M382" s="59"/>
      <c r="N382" s="97"/>
      <c r="O382" s="32"/>
      <c r="P382" s="85"/>
      <c r="Q382" s="126"/>
      <c r="R382" s="126"/>
      <c r="S382" s="126"/>
      <c r="T382" s="85"/>
      <c r="U382" s="85"/>
      <c r="V382" s="85"/>
      <c r="W382" s="85"/>
    </row>
    <row r="383" spans="1:23" s="33" customFormat="1" ht="13.8" x14ac:dyDescent="0.25">
      <c r="A383" s="34"/>
      <c r="B383" s="35" t="s">
        <v>500</v>
      </c>
      <c r="C383" s="40">
        <v>1</v>
      </c>
      <c r="D383" s="40">
        <v>9</v>
      </c>
      <c r="E383" s="40">
        <v>0.2</v>
      </c>
      <c r="F383" s="40">
        <v>0.3</v>
      </c>
      <c r="G383" s="40"/>
      <c r="H383" s="40"/>
      <c r="I383" s="40">
        <f t="shared" si="49"/>
        <v>0.54</v>
      </c>
      <c r="J383" s="40">
        <f t="shared" si="50"/>
        <v>0.54</v>
      </c>
      <c r="K383" s="40">
        <f t="shared" si="51"/>
        <v>0.54</v>
      </c>
      <c r="L383" s="131"/>
      <c r="M383" s="59"/>
      <c r="N383" s="97"/>
      <c r="O383" s="32"/>
      <c r="P383" s="85"/>
      <c r="Q383" s="126"/>
      <c r="R383" s="126"/>
      <c r="S383" s="126"/>
      <c r="T383" s="85"/>
      <c r="U383" s="85"/>
      <c r="V383" s="85"/>
      <c r="W383" s="85"/>
    </row>
    <row r="384" spans="1:23" s="33" customFormat="1" ht="13.8" x14ac:dyDescent="0.25">
      <c r="A384" s="34"/>
      <c r="B384" s="35" t="s">
        <v>501</v>
      </c>
      <c r="C384" s="40">
        <v>1</v>
      </c>
      <c r="D384" s="40">
        <v>13.9</v>
      </c>
      <c r="E384" s="40">
        <v>0.2</v>
      </c>
      <c r="F384" s="40">
        <v>0.3</v>
      </c>
      <c r="G384" s="40"/>
      <c r="H384" s="40"/>
      <c r="I384" s="40">
        <f t="shared" si="49"/>
        <v>0.83399999999999996</v>
      </c>
      <c r="J384" s="40">
        <f t="shared" si="50"/>
        <v>0.83399999999999996</v>
      </c>
      <c r="K384" s="40">
        <f t="shared" si="51"/>
        <v>0.83399999999999996</v>
      </c>
      <c r="L384" s="131"/>
      <c r="M384" s="59"/>
      <c r="N384" s="97"/>
      <c r="O384" s="32"/>
      <c r="P384" s="85"/>
      <c r="Q384" s="126"/>
      <c r="R384" s="126"/>
      <c r="S384" s="126"/>
      <c r="T384" s="85"/>
      <c r="U384" s="85"/>
      <c r="V384" s="85"/>
      <c r="W384" s="85"/>
    </row>
    <row r="385" spans="1:23" s="33" customFormat="1" ht="13.8" x14ac:dyDescent="0.25">
      <c r="A385" s="34"/>
      <c r="B385" s="35" t="s">
        <v>502</v>
      </c>
      <c r="C385" s="40">
        <v>1</v>
      </c>
      <c r="D385" s="40">
        <v>8.6999999999999993</v>
      </c>
      <c r="E385" s="40">
        <v>0.2</v>
      </c>
      <c r="F385" s="40">
        <v>0.3</v>
      </c>
      <c r="G385" s="40"/>
      <c r="H385" s="40"/>
      <c r="I385" s="40">
        <f t="shared" si="49"/>
        <v>0.52199999999999991</v>
      </c>
      <c r="J385" s="40">
        <f t="shared" si="50"/>
        <v>0.52199999999999991</v>
      </c>
      <c r="K385" s="40">
        <f t="shared" si="51"/>
        <v>0.52199999999999991</v>
      </c>
      <c r="L385" s="131"/>
      <c r="M385" s="59"/>
      <c r="N385" s="97"/>
      <c r="O385" s="32"/>
      <c r="P385" s="85"/>
      <c r="Q385" s="126"/>
      <c r="R385" s="126"/>
      <c r="S385" s="126"/>
      <c r="T385" s="85"/>
      <c r="U385" s="85"/>
      <c r="V385" s="85"/>
      <c r="W385" s="85"/>
    </row>
    <row r="386" spans="1:23" s="33" customFormat="1" ht="13.8" x14ac:dyDescent="0.25">
      <c r="A386" s="34"/>
      <c r="B386" s="35" t="s">
        <v>208</v>
      </c>
      <c r="C386" s="40">
        <v>1</v>
      </c>
      <c r="D386" s="40">
        <v>8.6999999999999993</v>
      </c>
      <c r="E386" s="40">
        <v>0.2</v>
      </c>
      <c r="F386" s="40">
        <v>0.3</v>
      </c>
      <c r="G386" s="40"/>
      <c r="H386" s="40"/>
      <c r="I386" s="40">
        <f t="shared" si="49"/>
        <v>0.52199999999999991</v>
      </c>
      <c r="J386" s="40">
        <f t="shared" si="50"/>
        <v>0.52199999999999991</v>
      </c>
      <c r="K386" s="40">
        <f t="shared" si="51"/>
        <v>0.52199999999999991</v>
      </c>
      <c r="L386" s="131"/>
      <c r="M386" s="59"/>
      <c r="N386" s="97"/>
      <c r="O386" s="32"/>
      <c r="P386" s="85"/>
      <c r="Q386" s="126"/>
      <c r="R386" s="126"/>
      <c r="S386" s="126"/>
      <c r="T386" s="85"/>
      <c r="U386" s="85"/>
      <c r="V386" s="85"/>
      <c r="W386" s="85"/>
    </row>
    <row r="387" spans="1:23" s="33" customFormat="1" ht="13.8" x14ac:dyDescent="0.25">
      <c r="A387" s="34"/>
      <c r="B387" s="35" t="s">
        <v>209</v>
      </c>
      <c r="C387" s="40">
        <v>1</v>
      </c>
      <c r="D387" s="40">
        <v>10.3</v>
      </c>
      <c r="E387" s="40">
        <v>0.2</v>
      </c>
      <c r="F387" s="40">
        <v>0.3</v>
      </c>
      <c r="G387" s="40"/>
      <c r="H387" s="40"/>
      <c r="I387" s="40">
        <f t="shared" si="49"/>
        <v>0.61799999999999999</v>
      </c>
      <c r="J387" s="40">
        <f t="shared" si="50"/>
        <v>0.61799999999999999</v>
      </c>
      <c r="K387" s="40">
        <f t="shared" si="51"/>
        <v>0.61799999999999999</v>
      </c>
      <c r="L387" s="131"/>
      <c r="M387" s="59"/>
      <c r="N387" s="97"/>
      <c r="O387" s="32"/>
      <c r="P387" s="85"/>
      <c r="Q387" s="126"/>
      <c r="R387" s="126"/>
      <c r="S387" s="126"/>
      <c r="T387" s="85"/>
      <c r="U387" s="85"/>
      <c r="V387" s="85"/>
      <c r="W387" s="85"/>
    </row>
    <row r="388" spans="1:23" s="33" customFormat="1" ht="13.8" x14ac:dyDescent="0.25">
      <c r="A388" s="34"/>
      <c r="B388" s="35" t="s">
        <v>503</v>
      </c>
      <c r="C388" s="40">
        <v>1</v>
      </c>
      <c r="D388" s="40">
        <v>15.1</v>
      </c>
      <c r="E388" s="40">
        <v>0.2</v>
      </c>
      <c r="F388" s="40">
        <v>0.3</v>
      </c>
      <c r="G388" s="40"/>
      <c r="H388" s="40"/>
      <c r="I388" s="40">
        <f t="shared" si="49"/>
        <v>0.90599999999999992</v>
      </c>
      <c r="J388" s="40">
        <f t="shared" si="50"/>
        <v>0.90599999999999992</v>
      </c>
      <c r="K388" s="40">
        <f t="shared" si="51"/>
        <v>0.90599999999999992</v>
      </c>
      <c r="L388" s="131"/>
      <c r="M388" s="59"/>
      <c r="N388" s="97"/>
      <c r="O388" s="32"/>
      <c r="P388" s="85"/>
      <c r="Q388" s="126"/>
      <c r="R388" s="126"/>
      <c r="S388" s="126"/>
      <c r="T388" s="85"/>
      <c r="U388" s="85"/>
      <c r="V388" s="85"/>
      <c r="W388" s="85"/>
    </row>
    <row r="389" spans="1:23" s="33" customFormat="1" ht="13.8" x14ac:dyDescent="0.25">
      <c r="A389" s="34"/>
      <c r="B389" s="35" t="s">
        <v>211</v>
      </c>
      <c r="C389" s="40">
        <v>1</v>
      </c>
      <c r="D389" s="40">
        <v>4</v>
      </c>
      <c r="E389" s="40">
        <v>0.2</v>
      </c>
      <c r="F389" s="40">
        <v>0.3</v>
      </c>
      <c r="G389" s="40"/>
      <c r="H389" s="40"/>
      <c r="I389" s="40">
        <f t="shared" si="49"/>
        <v>0.24</v>
      </c>
      <c r="J389" s="40">
        <f t="shared" si="50"/>
        <v>0.24</v>
      </c>
      <c r="K389" s="40">
        <f t="shared" si="51"/>
        <v>0.24</v>
      </c>
      <c r="L389" s="131"/>
      <c r="M389" s="59"/>
      <c r="N389" s="97"/>
      <c r="O389" s="32"/>
      <c r="P389" s="85"/>
      <c r="Q389" s="126"/>
      <c r="R389" s="126"/>
      <c r="S389" s="126"/>
      <c r="T389" s="85"/>
      <c r="U389" s="85"/>
      <c r="V389" s="85"/>
      <c r="W389" s="85"/>
    </row>
    <row r="390" spans="1:23" s="33" customFormat="1" ht="13.8" x14ac:dyDescent="0.25">
      <c r="A390" s="34"/>
      <c r="B390" s="35" t="s">
        <v>504</v>
      </c>
      <c r="C390" s="40">
        <v>1</v>
      </c>
      <c r="D390" s="40">
        <v>8</v>
      </c>
      <c r="E390" s="40">
        <v>0.2</v>
      </c>
      <c r="F390" s="40">
        <v>0.3</v>
      </c>
      <c r="G390" s="40"/>
      <c r="H390" s="40"/>
      <c r="I390" s="40">
        <f t="shared" si="49"/>
        <v>0.48</v>
      </c>
      <c r="J390" s="40">
        <f t="shared" si="50"/>
        <v>0.48</v>
      </c>
      <c r="K390" s="40">
        <f t="shared" si="51"/>
        <v>0.48</v>
      </c>
      <c r="L390" s="131"/>
      <c r="M390" s="59"/>
      <c r="N390" s="97"/>
      <c r="O390" s="32"/>
      <c r="P390" s="85"/>
      <c r="Q390" s="126"/>
      <c r="R390" s="126"/>
      <c r="S390" s="126"/>
      <c r="T390" s="85"/>
      <c r="U390" s="85"/>
      <c r="V390" s="85"/>
      <c r="W390" s="85"/>
    </row>
    <row r="391" spans="1:23" s="33" customFormat="1" ht="13.8" x14ac:dyDescent="0.25">
      <c r="A391" s="34"/>
      <c r="B391" s="35" t="s">
        <v>505</v>
      </c>
      <c r="C391" s="40">
        <v>1</v>
      </c>
      <c r="D391" s="40">
        <v>9.4</v>
      </c>
      <c r="E391" s="40">
        <v>0.2</v>
      </c>
      <c r="F391" s="40">
        <v>0.3</v>
      </c>
      <c r="G391" s="40"/>
      <c r="H391" s="40"/>
      <c r="I391" s="40">
        <f t="shared" si="49"/>
        <v>0.56399999999999995</v>
      </c>
      <c r="J391" s="40">
        <f t="shared" si="50"/>
        <v>0.56399999999999995</v>
      </c>
      <c r="K391" s="40">
        <f t="shared" si="51"/>
        <v>0.56399999999999995</v>
      </c>
      <c r="L391" s="131"/>
      <c r="M391" s="59"/>
      <c r="N391" s="97"/>
      <c r="O391" s="32"/>
      <c r="P391" s="85"/>
      <c r="Q391" s="126"/>
      <c r="R391" s="126"/>
      <c r="S391" s="126"/>
      <c r="T391" s="85"/>
      <c r="U391" s="85"/>
      <c r="V391" s="85"/>
      <c r="W391" s="85"/>
    </row>
    <row r="392" spans="1:23" s="33" customFormat="1" ht="13.8" x14ac:dyDescent="0.25">
      <c r="A392" s="34"/>
      <c r="B392" s="58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59"/>
      <c r="N392" s="59"/>
      <c r="O392" s="32"/>
      <c r="P392" s="85"/>
      <c r="Q392" s="126"/>
      <c r="R392" s="126"/>
      <c r="S392" s="126"/>
      <c r="T392" s="85"/>
      <c r="U392" s="85"/>
      <c r="V392" s="85"/>
      <c r="W392" s="85"/>
    </row>
    <row r="393" spans="1:23" s="33" customFormat="1" ht="13.8" x14ac:dyDescent="0.25">
      <c r="A393" s="34"/>
      <c r="B393" s="327" t="s">
        <v>506</v>
      </c>
      <c r="C393" s="130"/>
      <c r="D393" s="130"/>
      <c r="E393" s="130"/>
      <c r="F393" s="130"/>
      <c r="G393" s="130"/>
      <c r="H393" s="130"/>
      <c r="I393" s="130"/>
      <c r="J393" s="130"/>
      <c r="K393" s="59"/>
      <c r="L393" s="59"/>
      <c r="M393" s="59"/>
      <c r="N393" s="97"/>
      <c r="O393" s="32"/>
      <c r="P393" s="85"/>
      <c r="Q393" s="126"/>
      <c r="R393" s="126"/>
      <c r="S393" s="126"/>
      <c r="T393" s="85"/>
      <c r="U393" s="85"/>
      <c r="V393" s="85"/>
      <c r="W393" s="85"/>
    </row>
    <row r="394" spans="1:23" s="33" customFormat="1" ht="13.8" x14ac:dyDescent="0.25">
      <c r="A394" s="34"/>
      <c r="B394" s="328" t="s">
        <v>506</v>
      </c>
      <c r="C394" s="130">
        <v>1</v>
      </c>
      <c r="D394" s="130"/>
      <c r="E394" s="130"/>
      <c r="F394" s="130">
        <v>0.14000000000000001</v>
      </c>
      <c r="G394" s="130"/>
      <c r="H394" s="130">
        <v>199.8</v>
      </c>
      <c r="I394" s="130">
        <f>+H394*F394</f>
        <v>27.972000000000005</v>
      </c>
      <c r="J394" s="130">
        <f>+I394</f>
        <v>27.972000000000005</v>
      </c>
      <c r="K394" s="130">
        <f>+J394*C394</f>
        <v>27.972000000000005</v>
      </c>
      <c r="L394" s="131"/>
      <c r="M394" s="59"/>
      <c r="N394" s="97"/>
      <c r="O394" s="32"/>
      <c r="P394" s="85"/>
      <c r="Q394" s="126"/>
      <c r="R394" s="126"/>
      <c r="S394" s="126"/>
      <c r="T394" s="85"/>
      <c r="U394" s="85"/>
      <c r="V394" s="85"/>
      <c r="W394" s="85"/>
    </row>
    <row r="395" spans="1:23" s="33" customFormat="1" ht="13.8" x14ac:dyDescent="0.25">
      <c r="A395" s="34"/>
      <c r="B395" s="35"/>
      <c r="C395" s="40"/>
      <c r="D395" s="40"/>
      <c r="E395" s="40"/>
      <c r="F395" s="40"/>
      <c r="G395" s="40"/>
      <c r="H395" s="40"/>
      <c r="I395" s="40"/>
      <c r="J395" s="40"/>
      <c r="K395" s="40"/>
      <c r="L395" s="131"/>
      <c r="M395" s="59"/>
      <c r="N395" s="97"/>
      <c r="O395" s="32"/>
      <c r="P395" s="85"/>
      <c r="Q395" s="126"/>
      <c r="R395" s="126"/>
      <c r="S395" s="126"/>
      <c r="T395" s="85"/>
      <c r="U395" s="85"/>
      <c r="V395" s="85"/>
      <c r="W395" s="85"/>
    </row>
    <row r="396" spans="1:23" s="33" customFormat="1" ht="13.8" x14ac:dyDescent="0.25">
      <c r="A396" s="34"/>
      <c r="B396" s="61" t="s">
        <v>105</v>
      </c>
      <c r="C396" s="40"/>
      <c r="D396" s="40"/>
      <c r="E396" s="40"/>
      <c r="F396" s="40"/>
      <c r="G396" s="40"/>
      <c r="H396" s="40"/>
      <c r="I396" s="40"/>
      <c r="J396" s="40"/>
      <c r="K396" s="40"/>
      <c r="L396" s="106"/>
      <c r="M396" s="59"/>
      <c r="N396" s="97"/>
      <c r="O396" s="32"/>
      <c r="P396" s="85"/>
      <c r="Q396" s="126"/>
      <c r="R396" s="126"/>
      <c r="S396" s="126"/>
      <c r="T396" s="85"/>
      <c r="U396" s="85"/>
      <c r="V396" s="85"/>
      <c r="W396" s="85"/>
    </row>
    <row r="397" spans="1:23" s="33" customFormat="1" ht="13.8" x14ac:dyDescent="0.25">
      <c r="A397" s="34"/>
      <c r="B397" s="35"/>
      <c r="C397" s="40">
        <v>19</v>
      </c>
      <c r="D397" s="40">
        <v>0.2</v>
      </c>
      <c r="E397" s="40">
        <v>0.25</v>
      </c>
      <c r="F397" s="40">
        <v>3.2</v>
      </c>
      <c r="G397" s="40"/>
      <c r="H397" s="40"/>
      <c r="I397" s="40">
        <f t="shared" ref="I397:I404" si="52">+F397*E397*D397</f>
        <v>0.16000000000000003</v>
      </c>
      <c r="J397" s="40">
        <f t="shared" ref="J397:J404" si="53">+I397</f>
        <v>0.16000000000000003</v>
      </c>
      <c r="K397" s="40">
        <f t="shared" ref="K397:K404" si="54">+J397*C397</f>
        <v>3.0400000000000005</v>
      </c>
      <c r="L397" s="40"/>
      <c r="M397" s="59"/>
      <c r="N397" s="97"/>
      <c r="O397" s="32"/>
      <c r="P397" s="85"/>
      <c r="Q397" s="126"/>
      <c r="R397" s="126"/>
      <c r="S397" s="126"/>
      <c r="T397" s="85"/>
      <c r="U397" s="85"/>
      <c r="V397" s="85"/>
      <c r="W397" s="85"/>
    </row>
    <row r="398" spans="1:23" s="33" customFormat="1" ht="13.8" x14ac:dyDescent="0.25">
      <c r="A398" s="34"/>
      <c r="B398" s="35"/>
      <c r="C398" s="40">
        <v>4</v>
      </c>
      <c r="D398" s="40">
        <v>0.2</v>
      </c>
      <c r="E398" s="40">
        <v>0.3</v>
      </c>
      <c r="F398" s="40">
        <v>3.2</v>
      </c>
      <c r="G398" s="40"/>
      <c r="H398" s="40"/>
      <c r="I398" s="40">
        <f t="shared" si="52"/>
        <v>0.192</v>
      </c>
      <c r="J398" s="40">
        <f t="shared" si="53"/>
        <v>0.192</v>
      </c>
      <c r="K398" s="40">
        <f t="shared" si="54"/>
        <v>0.76800000000000002</v>
      </c>
      <c r="L398" s="40"/>
      <c r="M398" s="59"/>
      <c r="N398" s="97"/>
      <c r="O398" s="32"/>
      <c r="P398" s="85"/>
      <c r="Q398" s="126"/>
      <c r="R398" s="126"/>
      <c r="S398" s="126"/>
      <c r="T398" s="85"/>
      <c r="U398" s="85"/>
      <c r="V398" s="85"/>
      <c r="W398" s="85"/>
    </row>
    <row r="399" spans="1:23" s="33" customFormat="1" ht="13.8" x14ac:dyDescent="0.25">
      <c r="A399" s="34"/>
      <c r="B399" s="35"/>
      <c r="C399" s="40">
        <v>4</v>
      </c>
      <c r="D399" s="40">
        <v>0.2</v>
      </c>
      <c r="E399" s="40">
        <v>0.35</v>
      </c>
      <c r="F399" s="40">
        <v>3.2</v>
      </c>
      <c r="G399" s="40"/>
      <c r="H399" s="40"/>
      <c r="I399" s="40">
        <f t="shared" si="52"/>
        <v>0.22399999999999998</v>
      </c>
      <c r="J399" s="40">
        <f t="shared" si="53"/>
        <v>0.22399999999999998</v>
      </c>
      <c r="K399" s="40">
        <f t="shared" si="54"/>
        <v>0.89599999999999991</v>
      </c>
      <c r="L399" s="40"/>
      <c r="M399" s="59"/>
      <c r="N399" s="97"/>
      <c r="O399" s="32"/>
      <c r="P399" s="85"/>
      <c r="Q399" s="126"/>
      <c r="R399" s="126"/>
      <c r="S399" s="126"/>
      <c r="T399" s="85"/>
      <c r="U399" s="85"/>
      <c r="V399" s="85"/>
      <c r="W399" s="85"/>
    </row>
    <row r="400" spans="1:23" s="33" customFormat="1" ht="13.8" x14ac:dyDescent="0.25">
      <c r="A400" s="34"/>
      <c r="B400" s="35"/>
      <c r="C400" s="40">
        <v>2</v>
      </c>
      <c r="D400" s="40">
        <v>0.2</v>
      </c>
      <c r="E400" s="40">
        <v>0.4</v>
      </c>
      <c r="F400" s="40">
        <v>3.2</v>
      </c>
      <c r="G400" s="40"/>
      <c r="H400" s="40"/>
      <c r="I400" s="40">
        <f t="shared" si="52"/>
        <v>0.25600000000000006</v>
      </c>
      <c r="J400" s="40">
        <f t="shared" si="53"/>
        <v>0.25600000000000006</v>
      </c>
      <c r="K400" s="40">
        <f t="shared" si="54"/>
        <v>0.51200000000000012</v>
      </c>
      <c r="L400" s="40"/>
      <c r="M400" s="59"/>
      <c r="N400" s="97"/>
      <c r="O400" s="32"/>
      <c r="P400" s="85"/>
      <c r="Q400" s="126"/>
      <c r="R400" s="126"/>
      <c r="S400" s="126"/>
      <c r="T400" s="85"/>
      <c r="U400" s="85"/>
      <c r="V400" s="85"/>
      <c r="W400" s="85"/>
    </row>
    <row r="401" spans="1:23" s="33" customFormat="1" ht="13.8" x14ac:dyDescent="0.25">
      <c r="A401" s="34"/>
      <c r="B401" s="35"/>
      <c r="C401" s="40">
        <v>4</v>
      </c>
      <c r="D401" s="40">
        <v>0.2</v>
      </c>
      <c r="E401" s="40">
        <v>0.45</v>
      </c>
      <c r="F401" s="40">
        <v>3.2</v>
      </c>
      <c r="G401" s="40"/>
      <c r="H401" s="40"/>
      <c r="I401" s="40">
        <f t="shared" si="52"/>
        <v>0.28800000000000003</v>
      </c>
      <c r="J401" s="40">
        <f t="shared" si="53"/>
        <v>0.28800000000000003</v>
      </c>
      <c r="K401" s="40">
        <f t="shared" si="54"/>
        <v>1.1520000000000001</v>
      </c>
      <c r="L401" s="40"/>
      <c r="M401" s="59"/>
      <c r="N401" s="97"/>
      <c r="O401" s="32"/>
      <c r="P401" s="85"/>
      <c r="Q401" s="126"/>
      <c r="R401" s="126"/>
      <c r="S401" s="126"/>
      <c r="T401" s="85"/>
      <c r="U401" s="85"/>
      <c r="V401" s="85"/>
      <c r="W401" s="85"/>
    </row>
    <row r="402" spans="1:23" s="33" customFormat="1" ht="13.8" x14ac:dyDescent="0.25">
      <c r="A402" s="34"/>
      <c r="B402" s="35"/>
      <c r="C402" s="40">
        <v>1</v>
      </c>
      <c r="D402" s="40">
        <v>0.2</v>
      </c>
      <c r="E402" s="40">
        <v>0.5</v>
      </c>
      <c r="F402" s="40">
        <v>3.2</v>
      </c>
      <c r="G402" s="40"/>
      <c r="H402" s="40"/>
      <c r="I402" s="40">
        <f t="shared" si="52"/>
        <v>0.32000000000000006</v>
      </c>
      <c r="J402" s="40">
        <f t="shared" si="53"/>
        <v>0.32000000000000006</v>
      </c>
      <c r="K402" s="40">
        <f t="shared" si="54"/>
        <v>0.32000000000000006</v>
      </c>
      <c r="L402" s="40"/>
      <c r="M402" s="59"/>
      <c r="N402" s="97"/>
      <c r="O402" s="32"/>
      <c r="P402" s="85"/>
      <c r="Q402" s="126"/>
      <c r="R402" s="126"/>
      <c r="S402" s="126"/>
      <c r="T402" s="85"/>
      <c r="U402" s="85"/>
      <c r="V402" s="85"/>
      <c r="W402" s="85"/>
    </row>
    <row r="403" spans="1:23" s="33" customFormat="1" ht="13.8" x14ac:dyDescent="0.25">
      <c r="A403" s="34"/>
      <c r="B403" s="35"/>
      <c r="C403" s="40">
        <v>3</v>
      </c>
      <c r="D403" s="40">
        <v>0.3</v>
      </c>
      <c r="E403" s="40">
        <v>0.5</v>
      </c>
      <c r="F403" s="40">
        <v>3.2</v>
      </c>
      <c r="G403" s="40"/>
      <c r="H403" s="40"/>
      <c r="I403" s="40">
        <f t="shared" si="52"/>
        <v>0.48</v>
      </c>
      <c r="J403" s="40">
        <f t="shared" si="53"/>
        <v>0.48</v>
      </c>
      <c r="K403" s="40">
        <f t="shared" si="54"/>
        <v>1.44</v>
      </c>
      <c r="L403" s="40"/>
      <c r="M403" s="59"/>
      <c r="N403" s="97"/>
      <c r="O403" s="32"/>
      <c r="P403" s="85"/>
      <c r="Q403" s="126"/>
      <c r="R403" s="126"/>
      <c r="S403" s="126"/>
      <c r="T403" s="85"/>
      <c r="U403" s="85"/>
      <c r="V403" s="85"/>
      <c r="W403" s="85"/>
    </row>
    <row r="404" spans="1:23" s="33" customFormat="1" ht="13.8" x14ac:dyDescent="0.25">
      <c r="A404" s="34"/>
      <c r="B404" s="35"/>
      <c r="C404" s="40">
        <v>1</v>
      </c>
      <c r="D404" s="40">
        <v>0.3</v>
      </c>
      <c r="E404" s="40">
        <v>1</v>
      </c>
      <c r="F404" s="40">
        <v>3.2</v>
      </c>
      <c r="G404" s="40"/>
      <c r="H404" s="40"/>
      <c r="I404" s="40">
        <f t="shared" si="52"/>
        <v>0.96</v>
      </c>
      <c r="J404" s="40">
        <f t="shared" si="53"/>
        <v>0.96</v>
      </c>
      <c r="K404" s="40">
        <f t="shared" si="54"/>
        <v>0.96</v>
      </c>
      <c r="L404" s="40"/>
      <c r="M404" s="59"/>
      <c r="N404" s="97"/>
      <c r="O404" s="32"/>
      <c r="P404" s="85"/>
      <c r="Q404" s="126"/>
      <c r="R404" s="126"/>
      <c r="S404" s="126"/>
      <c r="T404" s="85"/>
      <c r="U404" s="85"/>
      <c r="V404" s="85"/>
      <c r="W404" s="85"/>
    </row>
    <row r="405" spans="1:23" s="33" customFormat="1" ht="13.8" x14ac:dyDescent="0.25">
      <c r="A405" s="34"/>
      <c r="B405" s="35"/>
      <c r="C405" s="59">
        <f>+SUM(C397:C404)</f>
        <v>38</v>
      </c>
      <c r="D405" s="40"/>
      <c r="E405" s="40"/>
      <c r="F405" s="40"/>
      <c r="G405" s="40"/>
      <c r="H405" s="40"/>
      <c r="I405" s="40"/>
      <c r="J405" s="40"/>
      <c r="K405" s="40"/>
      <c r="L405" s="40"/>
      <c r="M405" s="59"/>
      <c r="N405" s="97"/>
      <c r="O405" s="32"/>
      <c r="P405" s="85"/>
      <c r="Q405" s="126"/>
      <c r="R405" s="126"/>
      <c r="S405" s="126"/>
      <c r="T405" s="85"/>
      <c r="U405" s="85"/>
      <c r="V405" s="85"/>
      <c r="W405" s="85"/>
    </row>
    <row r="406" spans="1:23" s="33" customFormat="1" ht="13.8" x14ac:dyDescent="0.25">
      <c r="A406" s="34"/>
      <c r="B406" s="58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59"/>
      <c r="N406" s="59"/>
      <c r="O406" s="32"/>
      <c r="P406" s="85"/>
      <c r="Q406" s="126"/>
      <c r="R406" s="126"/>
      <c r="S406" s="126"/>
      <c r="T406" s="85"/>
      <c r="U406" s="85"/>
      <c r="V406" s="85"/>
      <c r="W406" s="85"/>
    </row>
    <row r="407" spans="1:23" s="33" customFormat="1" ht="13.8" x14ac:dyDescent="0.25">
      <c r="A407" s="34"/>
      <c r="B407" s="164" t="s">
        <v>389</v>
      </c>
      <c r="C407" s="40"/>
      <c r="D407" s="40"/>
      <c r="E407" s="40"/>
      <c r="F407" s="40"/>
      <c r="G407" s="40"/>
      <c r="H407" s="40"/>
      <c r="I407" s="40"/>
      <c r="J407" s="40"/>
      <c r="K407" s="172">
        <f>+SUM(K409:K439)</f>
        <v>44.51</v>
      </c>
      <c r="L407" s="167"/>
      <c r="M407" s="59"/>
      <c r="N407" s="97"/>
      <c r="O407" s="32"/>
      <c r="P407" s="85"/>
      <c r="Q407" s="126"/>
      <c r="R407" s="126"/>
      <c r="S407" s="126"/>
      <c r="T407" s="85"/>
      <c r="U407" s="85"/>
      <c r="V407" s="85"/>
      <c r="W407" s="85"/>
    </row>
    <row r="408" spans="1:23" s="33" customFormat="1" ht="13.8" x14ac:dyDescent="0.25">
      <c r="A408" s="34"/>
      <c r="B408" s="58" t="s">
        <v>203</v>
      </c>
      <c r="C408" s="40"/>
      <c r="D408" s="40"/>
      <c r="E408" s="40"/>
      <c r="F408" s="40"/>
      <c r="G408" s="40"/>
      <c r="H408" s="40"/>
      <c r="I408" s="40"/>
      <c r="J408" s="40"/>
      <c r="K408" s="59"/>
      <c r="L408" s="59"/>
      <c r="M408" s="59"/>
      <c r="N408" s="97"/>
      <c r="O408" s="32"/>
      <c r="P408" s="85"/>
      <c r="Q408" s="126"/>
      <c r="R408" s="126"/>
      <c r="S408" s="126"/>
      <c r="T408" s="85"/>
      <c r="U408" s="85"/>
      <c r="V408" s="85"/>
      <c r="W408" s="85"/>
    </row>
    <row r="409" spans="1:23" s="33" customFormat="1" ht="13.8" x14ac:dyDescent="0.25">
      <c r="A409" s="34"/>
      <c r="B409" s="35" t="s">
        <v>493</v>
      </c>
      <c r="C409" s="40">
        <v>1</v>
      </c>
      <c r="D409" s="40">
        <v>14.9</v>
      </c>
      <c r="E409" s="40">
        <v>0.2</v>
      </c>
      <c r="F409" s="40">
        <v>0.4</v>
      </c>
      <c r="G409" s="40"/>
      <c r="H409" s="40"/>
      <c r="I409" s="40">
        <f t="shared" ref="I409:I426" si="55">+F409*E409*D409</f>
        <v>1.1920000000000002</v>
      </c>
      <c r="J409" s="40">
        <f t="shared" ref="J409:J426" si="56">+I409</f>
        <v>1.1920000000000002</v>
      </c>
      <c r="K409" s="40">
        <f t="shared" ref="K409:K426" si="57">+J409*C409</f>
        <v>1.1920000000000002</v>
      </c>
      <c r="L409" s="131"/>
      <c r="M409" s="59"/>
      <c r="N409" s="97"/>
      <c r="O409" s="32"/>
      <c r="P409" s="85"/>
      <c r="Q409" s="126"/>
      <c r="R409" s="126"/>
      <c r="S409" s="126"/>
      <c r="T409" s="85"/>
      <c r="U409" s="85"/>
      <c r="V409" s="85"/>
      <c r="W409" s="85"/>
    </row>
    <row r="410" spans="1:23" s="33" customFormat="1" ht="13.8" x14ac:dyDescent="0.25">
      <c r="A410" s="34"/>
      <c r="B410" s="35" t="s">
        <v>494</v>
      </c>
      <c r="C410" s="40">
        <v>1</v>
      </c>
      <c r="D410" s="40">
        <v>6.9</v>
      </c>
      <c r="E410" s="40">
        <v>0.2</v>
      </c>
      <c r="F410" s="40">
        <v>0.3</v>
      </c>
      <c r="G410" s="40"/>
      <c r="H410" s="40"/>
      <c r="I410" s="40">
        <f t="shared" si="55"/>
        <v>0.41399999999999998</v>
      </c>
      <c r="J410" s="40">
        <f t="shared" si="56"/>
        <v>0.41399999999999998</v>
      </c>
      <c r="K410" s="40">
        <f t="shared" si="57"/>
        <v>0.41399999999999998</v>
      </c>
      <c r="L410" s="131"/>
      <c r="M410" s="59"/>
      <c r="N410" s="97"/>
      <c r="O410" s="32"/>
      <c r="P410" s="85"/>
      <c r="Q410" s="126"/>
      <c r="R410" s="126"/>
      <c r="S410" s="126"/>
      <c r="T410" s="85"/>
      <c r="U410" s="85"/>
      <c r="V410" s="85"/>
      <c r="W410" s="85"/>
    </row>
    <row r="411" spans="1:23" s="33" customFormat="1" ht="13.8" x14ac:dyDescent="0.25">
      <c r="A411" s="34"/>
      <c r="B411" s="35" t="s">
        <v>206</v>
      </c>
      <c r="C411" s="40">
        <v>1</v>
      </c>
      <c r="D411" s="40">
        <v>6.9</v>
      </c>
      <c r="E411" s="40">
        <v>0.2</v>
      </c>
      <c r="F411" s="40">
        <v>0.3</v>
      </c>
      <c r="G411" s="40"/>
      <c r="H411" s="40"/>
      <c r="I411" s="40">
        <f t="shared" si="55"/>
        <v>0.41399999999999998</v>
      </c>
      <c r="J411" s="40">
        <f t="shared" si="56"/>
        <v>0.41399999999999998</v>
      </c>
      <c r="K411" s="40">
        <f t="shared" si="57"/>
        <v>0.41399999999999998</v>
      </c>
      <c r="L411" s="131"/>
      <c r="M411" s="59"/>
      <c r="N411" s="97"/>
      <c r="O411" s="32"/>
      <c r="P411" s="85"/>
      <c r="Q411" s="126"/>
      <c r="R411" s="126"/>
      <c r="S411" s="126"/>
      <c r="T411" s="85"/>
      <c r="U411" s="85"/>
      <c r="V411" s="85"/>
      <c r="W411" s="85"/>
    </row>
    <row r="412" spans="1:23" s="33" customFormat="1" ht="13.8" x14ac:dyDescent="0.25">
      <c r="A412" s="34"/>
      <c r="B412" s="35" t="s">
        <v>495</v>
      </c>
      <c r="C412" s="40">
        <v>1</v>
      </c>
      <c r="D412" s="40">
        <v>7.9</v>
      </c>
      <c r="E412" s="40">
        <v>0.2</v>
      </c>
      <c r="F412" s="40">
        <v>0.3</v>
      </c>
      <c r="G412" s="40"/>
      <c r="H412" s="40"/>
      <c r="I412" s="40">
        <f t="shared" si="55"/>
        <v>0.47399999999999998</v>
      </c>
      <c r="J412" s="40">
        <f t="shared" si="56"/>
        <v>0.47399999999999998</v>
      </c>
      <c r="K412" s="40">
        <f t="shared" si="57"/>
        <v>0.47399999999999998</v>
      </c>
      <c r="L412" s="131"/>
      <c r="M412" s="59"/>
      <c r="N412" s="97"/>
      <c r="O412" s="32"/>
      <c r="P412" s="85"/>
      <c r="Q412" s="126"/>
      <c r="R412" s="126"/>
      <c r="S412" s="126"/>
      <c r="T412" s="85"/>
      <c r="U412" s="85"/>
      <c r="V412" s="85"/>
      <c r="W412" s="85"/>
    </row>
    <row r="413" spans="1:23" s="33" customFormat="1" ht="13.8" x14ac:dyDescent="0.25">
      <c r="A413" s="34"/>
      <c r="B413" s="35" t="s">
        <v>496</v>
      </c>
      <c r="C413" s="40">
        <v>1</v>
      </c>
      <c r="D413" s="40">
        <v>14.7</v>
      </c>
      <c r="E413" s="40">
        <v>0.2</v>
      </c>
      <c r="F413" s="40">
        <v>0.3</v>
      </c>
      <c r="G413" s="40"/>
      <c r="H413" s="40"/>
      <c r="I413" s="40">
        <f t="shared" si="55"/>
        <v>0.8819999999999999</v>
      </c>
      <c r="J413" s="40">
        <f t="shared" si="56"/>
        <v>0.8819999999999999</v>
      </c>
      <c r="K413" s="40">
        <f t="shared" si="57"/>
        <v>0.8819999999999999</v>
      </c>
      <c r="L413" s="131"/>
      <c r="M413" s="59"/>
      <c r="N413" s="97"/>
      <c r="O413" s="32"/>
      <c r="P413" s="85"/>
      <c r="Q413" s="126"/>
      <c r="R413" s="126"/>
      <c r="S413" s="126"/>
      <c r="T413" s="85"/>
      <c r="U413" s="85"/>
      <c r="V413" s="85"/>
      <c r="W413" s="85"/>
    </row>
    <row r="414" spans="1:23" s="33" customFormat="1" ht="13.8" x14ac:dyDescent="0.25">
      <c r="A414" s="34"/>
      <c r="B414" s="35" t="s">
        <v>207</v>
      </c>
      <c r="C414" s="40">
        <v>1</v>
      </c>
      <c r="D414" s="40">
        <v>2.9</v>
      </c>
      <c r="E414" s="40">
        <v>0.2</v>
      </c>
      <c r="F414" s="40">
        <v>0.3</v>
      </c>
      <c r="G414" s="40"/>
      <c r="H414" s="40"/>
      <c r="I414" s="40">
        <f t="shared" si="55"/>
        <v>0.17399999999999999</v>
      </c>
      <c r="J414" s="40">
        <f t="shared" si="56"/>
        <v>0.17399999999999999</v>
      </c>
      <c r="K414" s="40">
        <f t="shared" si="57"/>
        <v>0.17399999999999999</v>
      </c>
      <c r="L414" s="131"/>
      <c r="M414" s="59"/>
      <c r="N414" s="97"/>
      <c r="O414" s="32"/>
      <c r="P414" s="85"/>
      <c r="Q414" s="126"/>
      <c r="R414" s="126"/>
      <c r="S414" s="126"/>
      <c r="T414" s="85"/>
      <c r="U414" s="85"/>
      <c r="V414" s="85"/>
      <c r="W414" s="85"/>
    </row>
    <row r="415" spans="1:23" s="33" customFormat="1" ht="13.8" x14ac:dyDescent="0.25">
      <c r="A415" s="34"/>
      <c r="B415" s="35" t="s">
        <v>497</v>
      </c>
      <c r="C415" s="40">
        <v>1</v>
      </c>
      <c r="D415" s="40">
        <v>14.6</v>
      </c>
      <c r="E415" s="40">
        <v>0.2</v>
      </c>
      <c r="F415" s="40">
        <v>0.3</v>
      </c>
      <c r="G415" s="40"/>
      <c r="H415" s="40"/>
      <c r="I415" s="40">
        <f t="shared" si="55"/>
        <v>0.876</v>
      </c>
      <c r="J415" s="40">
        <f t="shared" si="56"/>
        <v>0.876</v>
      </c>
      <c r="K415" s="40">
        <f t="shared" si="57"/>
        <v>0.876</v>
      </c>
      <c r="L415" s="131"/>
      <c r="M415" s="59"/>
      <c r="N415" s="97"/>
      <c r="O415" s="32"/>
      <c r="P415" s="85"/>
      <c r="Q415" s="126"/>
      <c r="R415" s="126"/>
      <c r="S415" s="126"/>
      <c r="T415" s="85"/>
      <c r="U415" s="85"/>
      <c r="V415" s="85"/>
      <c r="W415" s="85"/>
    </row>
    <row r="416" spans="1:23" s="33" customFormat="1" ht="13.8" x14ac:dyDescent="0.25">
      <c r="A416" s="34"/>
      <c r="B416" s="35" t="s">
        <v>498</v>
      </c>
      <c r="C416" s="40">
        <v>1</v>
      </c>
      <c r="D416" s="40">
        <v>5.7</v>
      </c>
      <c r="E416" s="40">
        <v>0.2</v>
      </c>
      <c r="F416" s="40">
        <v>0.3</v>
      </c>
      <c r="G416" s="40"/>
      <c r="H416" s="40"/>
      <c r="I416" s="40">
        <f t="shared" si="55"/>
        <v>0.34199999999999997</v>
      </c>
      <c r="J416" s="40">
        <f t="shared" si="56"/>
        <v>0.34199999999999997</v>
      </c>
      <c r="K416" s="40">
        <f t="shared" si="57"/>
        <v>0.34199999999999997</v>
      </c>
      <c r="L416" s="131"/>
      <c r="M416" s="59"/>
      <c r="N416" s="97"/>
      <c r="O416" s="32"/>
      <c r="P416" s="85"/>
      <c r="Q416" s="126"/>
      <c r="R416" s="126"/>
      <c r="S416" s="126"/>
      <c r="T416" s="85"/>
      <c r="U416" s="85"/>
      <c r="V416" s="85"/>
      <c r="W416" s="85"/>
    </row>
    <row r="417" spans="1:23" s="33" customFormat="1" ht="13.8" x14ac:dyDescent="0.25">
      <c r="A417" s="34"/>
      <c r="B417" s="35" t="s">
        <v>499</v>
      </c>
      <c r="C417" s="40">
        <v>1</v>
      </c>
      <c r="D417" s="40">
        <v>11.5</v>
      </c>
      <c r="E417" s="40">
        <v>0.2</v>
      </c>
      <c r="F417" s="40">
        <v>0.3</v>
      </c>
      <c r="G417" s="40"/>
      <c r="H417" s="40"/>
      <c r="I417" s="40">
        <f t="shared" si="55"/>
        <v>0.69</v>
      </c>
      <c r="J417" s="40">
        <f t="shared" si="56"/>
        <v>0.69</v>
      </c>
      <c r="K417" s="40">
        <f t="shared" si="57"/>
        <v>0.69</v>
      </c>
      <c r="L417" s="131"/>
      <c r="M417" s="59"/>
      <c r="N417" s="97"/>
      <c r="O417" s="32"/>
      <c r="P417" s="85"/>
      <c r="Q417" s="126"/>
      <c r="R417" s="126"/>
      <c r="S417" s="126"/>
      <c r="T417" s="85"/>
      <c r="U417" s="85"/>
      <c r="V417" s="85"/>
      <c r="W417" s="85"/>
    </row>
    <row r="418" spans="1:23" s="33" customFormat="1" ht="13.8" x14ac:dyDescent="0.25">
      <c r="A418" s="34"/>
      <c r="B418" s="35" t="s">
        <v>500</v>
      </c>
      <c r="C418" s="40">
        <v>1</v>
      </c>
      <c r="D418" s="40">
        <v>9</v>
      </c>
      <c r="E418" s="40">
        <v>0.2</v>
      </c>
      <c r="F418" s="40">
        <v>0.3</v>
      </c>
      <c r="G418" s="40"/>
      <c r="H418" s="40"/>
      <c r="I418" s="40">
        <f t="shared" si="55"/>
        <v>0.54</v>
      </c>
      <c r="J418" s="40">
        <f t="shared" si="56"/>
        <v>0.54</v>
      </c>
      <c r="K418" s="40">
        <f t="shared" si="57"/>
        <v>0.54</v>
      </c>
      <c r="L418" s="131"/>
      <c r="M418" s="59"/>
      <c r="N418" s="97"/>
      <c r="O418" s="32"/>
      <c r="P418" s="85"/>
      <c r="Q418" s="126"/>
      <c r="R418" s="126"/>
      <c r="S418" s="126"/>
      <c r="T418" s="85"/>
      <c r="U418" s="85"/>
      <c r="V418" s="85"/>
      <c r="W418" s="85"/>
    </row>
    <row r="419" spans="1:23" s="33" customFormat="1" ht="13.8" x14ac:dyDescent="0.25">
      <c r="A419" s="34"/>
      <c r="B419" s="35" t="s">
        <v>501</v>
      </c>
      <c r="C419" s="40">
        <v>1</v>
      </c>
      <c r="D419" s="40">
        <v>13.9</v>
      </c>
      <c r="E419" s="40">
        <v>0.2</v>
      </c>
      <c r="F419" s="40">
        <v>0.3</v>
      </c>
      <c r="G419" s="40"/>
      <c r="H419" s="40"/>
      <c r="I419" s="40">
        <f t="shared" si="55"/>
        <v>0.83399999999999996</v>
      </c>
      <c r="J419" s="40">
        <f t="shared" si="56"/>
        <v>0.83399999999999996</v>
      </c>
      <c r="K419" s="40">
        <f t="shared" si="57"/>
        <v>0.83399999999999996</v>
      </c>
      <c r="L419" s="131"/>
      <c r="M419" s="59"/>
      <c r="N419" s="97"/>
      <c r="O419" s="32"/>
      <c r="P419" s="85"/>
      <c r="Q419" s="126"/>
      <c r="R419" s="126"/>
      <c r="S419" s="126"/>
      <c r="T419" s="85"/>
      <c r="U419" s="85"/>
      <c r="V419" s="85"/>
      <c r="W419" s="85"/>
    </row>
    <row r="420" spans="1:23" s="33" customFormat="1" ht="13.8" x14ac:dyDescent="0.25">
      <c r="A420" s="34"/>
      <c r="B420" s="35" t="s">
        <v>502</v>
      </c>
      <c r="C420" s="40">
        <v>1</v>
      </c>
      <c r="D420" s="40">
        <v>8.6999999999999993</v>
      </c>
      <c r="E420" s="40">
        <v>0.2</v>
      </c>
      <c r="F420" s="40">
        <v>0.3</v>
      </c>
      <c r="G420" s="40"/>
      <c r="H420" s="40"/>
      <c r="I420" s="40">
        <f t="shared" si="55"/>
        <v>0.52199999999999991</v>
      </c>
      <c r="J420" s="40">
        <f t="shared" si="56"/>
        <v>0.52199999999999991</v>
      </c>
      <c r="K420" s="40">
        <f t="shared" si="57"/>
        <v>0.52199999999999991</v>
      </c>
      <c r="L420" s="131"/>
      <c r="M420" s="59"/>
      <c r="N420" s="97"/>
      <c r="O420" s="32"/>
      <c r="P420" s="85"/>
      <c r="Q420" s="126"/>
      <c r="R420" s="126"/>
      <c r="S420" s="126"/>
      <c r="T420" s="85"/>
      <c r="U420" s="85"/>
      <c r="V420" s="85"/>
      <c r="W420" s="85"/>
    </row>
    <row r="421" spans="1:23" s="33" customFormat="1" ht="13.8" x14ac:dyDescent="0.25">
      <c r="A421" s="34"/>
      <c r="B421" s="35" t="s">
        <v>208</v>
      </c>
      <c r="C421" s="40">
        <v>1</v>
      </c>
      <c r="D421" s="40">
        <v>8.6999999999999993</v>
      </c>
      <c r="E421" s="40">
        <v>0.2</v>
      </c>
      <c r="F421" s="40">
        <v>0.3</v>
      </c>
      <c r="G421" s="40"/>
      <c r="H421" s="40"/>
      <c r="I421" s="40">
        <f t="shared" si="55"/>
        <v>0.52199999999999991</v>
      </c>
      <c r="J421" s="40">
        <f t="shared" si="56"/>
        <v>0.52199999999999991</v>
      </c>
      <c r="K421" s="40">
        <f t="shared" si="57"/>
        <v>0.52199999999999991</v>
      </c>
      <c r="L421" s="131"/>
      <c r="M421" s="59"/>
      <c r="N421" s="97"/>
      <c r="O421" s="32"/>
      <c r="P421" s="85"/>
      <c r="Q421" s="126"/>
      <c r="R421" s="126"/>
      <c r="S421" s="126"/>
      <c r="T421" s="85"/>
      <c r="U421" s="85"/>
      <c r="V421" s="85"/>
      <c r="W421" s="85"/>
    </row>
    <row r="422" spans="1:23" s="33" customFormat="1" ht="13.8" x14ac:dyDescent="0.25">
      <c r="A422" s="34"/>
      <c r="B422" s="35" t="s">
        <v>209</v>
      </c>
      <c r="C422" s="40">
        <v>1</v>
      </c>
      <c r="D422" s="40">
        <v>10.3</v>
      </c>
      <c r="E422" s="40">
        <v>0.2</v>
      </c>
      <c r="F422" s="40">
        <v>0.3</v>
      </c>
      <c r="G422" s="40"/>
      <c r="H422" s="40"/>
      <c r="I422" s="40">
        <f t="shared" si="55"/>
        <v>0.61799999999999999</v>
      </c>
      <c r="J422" s="40">
        <f t="shared" si="56"/>
        <v>0.61799999999999999</v>
      </c>
      <c r="K422" s="40">
        <f t="shared" si="57"/>
        <v>0.61799999999999999</v>
      </c>
      <c r="L422" s="131"/>
      <c r="M422" s="59"/>
      <c r="N422" s="97"/>
      <c r="O422" s="32"/>
      <c r="P422" s="85"/>
      <c r="Q422" s="126"/>
      <c r="R422" s="126"/>
      <c r="S422" s="126"/>
      <c r="T422" s="85"/>
      <c r="U422" s="85"/>
      <c r="V422" s="85"/>
      <c r="W422" s="85"/>
    </row>
    <row r="423" spans="1:23" s="33" customFormat="1" ht="13.8" x14ac:dyDescent="0.25">
      <c r="A423" s="34"/>
      <c r="B423" s="35" t="s">
        <v>503</v>
      </c>
      <c r="C423" s="40">
        <v>1</v>
      </c>
      <c r="D423" s="40">
        <v>15.1</v>
      </c>
      <c r="E423" s="40">
        <v>0.2</v>
      </c>
      <c r="F423" s="40">
        <v>0.3</v>
      </c>
      <c r="G423" s="40"/>
      <c r="H423" s="40"/>
      <c r="I423" s="40">
        <f t="shared" si="55"/>
        <v>0.90599999999999992</v>
      </c>
      <c r="J423" s="40">
        <f t="shared" si="56"/>
        <v>0.90599999999999992</v>
      </c>
      <c r="K423" s="40">
        <f t="shared" si="57"/>
        <v>0.90599999999999992</v>
      </c>
      <c r="L423" s="131"/>
      <c r="M423" s="59"/>
      <c r="N423" s="97"/>
      <c r="O423" s="32"/>
      <c r="P423" s="85"/>
      <c r="Q423" s="126"/>
      <c r="R423" s="126"/>
      <c r="S423" s="126"/>
      <c r="T423" s="85"/>
      <c r="U423" s="85"/>
      <c r="V423" s="85"/>
      <c r="W423" s="85"/>
    </row>
    <row r="424" spans="1:23" s="33" customFormat="1" ht="13.8" x14ac:dyDescent="0.25">
      <c r="A424" s="34"/>
      <c r="B424" s="35" t="s">
        <v>211</v>
      </c>
      <c r="C424" s="40">
        <v>1</v>
      </c>
      <c r="D424" s="40">
        <v>4</v>
      </c>
      <c r="E424" s="40">
        <v>0.2</v>
      </c>
      <c r="F424" s="40">
        <v>0.3</v>
      </c>
      <c r="G424" s="40"/>
      <c r="H424" s="40"/>
      <c r="I424" s="40">
        <f t="shared" si="55"/>
        <v>0.24</v>
      </c>
      <c r="J424" s="40">
        <f t="shared" si="56"/>
        <v>0.24</v>
      </c>
      <c r="K424" s="40">
        <f t="shared" si="57"/>
        <v>0.24</v>
      </c>
      <c r="L424" s="131"/>
      <c r="M424" s="59"/>
      <c r="N424" s="97"/>
      <c r="O424" s="32"/>
      <c r="P424" s="85"/>
      <c r="Q424" s="126"/>
      <c r="R424" s="126"/>
      <c r="S424" s="126"/>
      <c r="T424" s="85"/>
      <c r="U424" s="85"/>
      <c r="V424" s="85"/>
      <c r="W424" s="85"/>
    </row>
    <row r="425" spans="1:23" s="33" customFormat="1" ht="13.8" x14ac:dyDescent="0.25">
      <c r="A425" s="34"/>
      <c r="B425" s="35" t="s">
        <v>504</v>
      </c>
      <c r="C425" s="40">
        <v>1</v>
      </c>
      <c r="D425" s="40">
        <v>8</v>
      </c>
      <c r="E425" s="40">
        <v>0.2</v>
      </c>
      <c r="F425" s="40">
        <v>0.3</v>
      </c>
      <c r="G425" s="40"/>
      <c r="H425" s="40"/>
      <c r="I425" s="40">
        <f t="shared" si="55"/>
        <v>0.48</v>
      </c>
      <c r="J425" s="40">
        <f t="shared" si="56"/>
        <v>0.48</v>
      </c>
      <c r="K425" s="40">
        <f t="shared" si="57"/>
        <v>0.48</v>
      </c>
      <c r="L425" s="131"/>
      <c r="M425" s="59"/>
      <c r="N425" s="97"/>
      <c r="O425" s="32"/>
      <c r="P425" s="85"/>
      <c r="Q425" s="126"/>
      <c r="R425" s="126"/>
      <c r="S425" s="126"/>
      <c r="T425" s="85"/>
      <c r="U425" s="85"/>
      <c r="V425" s="85"/>
      <c r="W425" s="85"/>
    </row>
    <row r="426" spans="1:23" s="33" customFormat="1" ht="13.8" x14ac:dyDescent="0.25">
      <c r="A426" s="34"/>
      <c r="B426" s="35" t="s">
        <v>505</v>
      </c>
      <c r="C426" s="40">
        <v>1</v>
      </c>
      <c r="D426" s="40">
        <v>9.4</v>
      </c>
      <c r="E426" s="40">
        <v>0.2</v>
      </c>
      <c r="F426" s="40">
        <v>0.3</v>
      </c>
      <c r="G426" s="40"/>
      <c r="H426" s="40"/>
      <c r="I426" s="40">
        <f t="shared" si="55"/>
        <v>0.56399999999999995</v>
      </c>
      <c r="J426" s="40">
        <f t="shared" si="56"/>
        <v>0.56399999999999995</v>
      </c>
      <c r="K426" s="40">
        <f t="shared" si="57"/>
        <v>0.56399999999999995</v>
      </c>
      <c r="L426" s="131"/>
      <c r="M426" s="59"/>
      <c r="N426" s="97"/>
      <c r="O426" s="32"/>
      <c r="P426" s="85"/>
      <c r="Q426" s="126"/>
      <c r="R426" s="126"/>
      <c r="S426" s="126"/>
      <c r="T426" s="85"/>
      <c r="U426" s="85"/>
      <c r="V426" s="85"/>
      <c r="W426" s="85"/>
    </row>
    <row r="427" spans="1:23" s="33" customFormat="1" ht="13.8" x14ac:dyDescent="0.25">
      <c r="A427" s="34"/>
      <c r="B427" s="58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59"/>
      <c r="N427" s="59"/>
      <c r="O427" s="32"/>
      <c r="P427" s="85"/>
      <c r="Q427" s="126"/>
      <c r="R427" s="126"/>
      <c r="S427" s="126"/>
      <c r="T427" s="85"/>
      <c r="U427" s="85"/>
      <c r="V427" s="85"/>
      <c r="W427" s="85"/>
    </row>
    <row r="428" spans="1:23" s="33" customFormat="1" ht="13.8" x14ac:dyDescent="0.25">
      <c r="A428" s="34"/>
      <c r="B428" s="58" t="s">
        <v>506</v>
      </c>
      <c r="C428" s="40"/>
      <c r="D428" s="40"/>
      <c r="E428" s="40"/>
      <c r="F428" s="40"/>
      <c r="G428" s="40"/>
      <c r="H428" s="40"/>
      <c r="I428" s="40"/>
      <c r="J428" s="40"/>
      <c r="K428" s="59"/>
      <c r="L428" s="59"/>
      <c r="M428" s="59"/>
      <c r="N428" s="97"/>
      <c r="O428" s="32"/>
      <c r="P428" s="85"/>
      <c r="Q428" s="126"/>
      <c r="R428" s="126"/>
      <c r="S428" s="126"/>
      <c r="T428" s="85"/>
      <c r="U428" s="85"/>
      <c r="V428" s="85"/>
      <c r="W428" s="85"/>
    </row>
    <row r="429" spans="1:23" s="33" customFormat="1" ht="13.8" x14ac:dyDescent="0.25">
      <c r="A429" s="34"/>
      <c r="B429" s="35" t="s">
        <v>506</v>
      </c>
      <c r="C429" s="40">
        <v>1</v>
      </c>
      <c r="D429" s="40"/>
      <c r="E429" s="40"/>
      <c r="F429" s="40">
        <v>0.14000000000000001</v>
      </c>
      <c r="G429" s="40"/>
      <c r="H429" s="40">
        <v>176.7</v>
      </c>
      <c r="I429" s="40">
        <f>+H429*F429</f>
        <v>24.738</v>
      </c>
      <c r="J429" s="40">
        <f>+I429</f>
        <v>24.738</v>
      </c>
      <c r="K429" s="40">
        <f>+J429*C429</f>
        <v>24.738</v>
      </c>
      <c r="L429" s="131"/>
      <c r="M429" s="59"/>
      <c r="N429" s="97"/>
      <c r="O429" s="32"/>
      <c r="P429" s="85"/>
      <c r="Q429" s="126"/>
      <c r="R429" s="126"/>
      <c r="S429" s="126"/>
      <c r="T429" s="85"/>
      <c r="U429" s="85"/>
      <c r="V429" s="85"/>
      <c r="W429" s="85"/>
    </row>
    <row r="430" spans="1:23" s="33" customFormat="1" ht="13.8" x14ac:dyDescent="0.25">
      <c r="A430" s="34"/>
      <c r="B430" s="35"/>
      <c r="C430" s="40"/>
      <c r="D430" s="40"/>
      <c r="E430" s="40"/>
      <c r="F430" s="40"/>
      <c r="G430" s="40"/>
      <c r="H430" s="40"/>
      <c r="I430" s="40"/>
      <c r="J430" s="40"/>
      <c r="K430" s="40"/>
      <c r="L430" s="131"/>
      <c r="M430" s="59"/>
      <c r="N430" s="97"/>
      <c r="O430" s="32"/>
      <c r="P430" s="85"/>
      <c r="Q430" s="126"/>
      <c r="R430" s="126"/>
      <c r="S430" s="126"/>
      <c r="T430" s="85"/>
      <c r="U430" s="85"/>
      <c r="V430" s="85"/>
      <c r="W430" s="85"/>
    </row>
    <row r="431" spans="1:23" s="33" customFormat="1" ht="13.8" x14ac:dyDescent="0.25">
      <c r="A431" s="34"/>
      <c r="B431" s="61" t="s">
        <v>105</v>
      </c>
      <c r="C431" s="40"/>
      <c r="D431" s="40"/>
      <c r="E431" s="40"/>
      <c r="F431" s="40"/>
      <c r="G431" s="40"/>
      <c r="H431" s="40"/>
      <c r="I431" s="40"/>
      <c r="J431" s="40"/>
      <c r="K431" s="40"/>
      <c r="L431" s="106"/>
      <c r="M431" s="59"/>
      <c r="N431" s="97"/>
      <c r="O431" s="32"/>
      <c r="P431" s="85"/>
      <c r="Q431" s="126"/>
      <c r="R431" s="126"/>
      <c r="S431" s="126"/>
      <c r="T431" s="85"/>
      <c r="U431" s="85"/>
      <c r="V431" s="85"/>
      <c r="W431" s="85"/>
    </row>
    <row r="432" spans="1:23" s="33" customFormat="1" ht="13.8" x14ac:dyDescent="0.25">
      <c r="A432" s="34"/>
      <c r="B432" s="35"/>
      <c r="C432" s="40">
        <v>19</v>
      </c>
      <c r="D432" s="40">
        <v>0.2</v>
      </c>
      <c r="E432" s="40">
        <v>0.25</v>
      </c>
      <c r="F432" s="40">
        <v>3.2</v>
      </c>
      <c r="G432" s="40"/>
      <c r="H432" s="40"/>
      <c r="I432" s="40">
        <f t="shared" ref="I432:I439" si="58">+F432*E432*D432</f>
        <v>0.16000000000000003</v>
      </c>
      <c r="J432" s="40">
        <f t="shared" ref="J432:J439" si="59">+I432</f>
        <v>0.16000000000000003</v>
      </c>
      <c r="K432" s="40">
        <f t="shared" ref="K432:K439" si="60">+J432*C432</f>
        <v>3.0400000000000005</v>
      </c>
      <c r="L432" s="40"/>
      <c r="M432" s="59"/>
      <c r="N432" s="97"/>
      <c r="O432" s="32"/>
      <c r="P432" s="85"/>
      <c r="Q432" s="126"/>
      <c r="R432" s="126"/>
      <c r="S432" s="126"/>
      <c r="T432" s="85"/>
      <c r="U432" s="85"/>
      <c r="V432" s="85"/>
      <c r="W432" s="85"/>
    </row>
    <row r="433" spans="1:23" s="33" customFormat="1" ht="13.8" x14ac:dyDescent="0.25">
      <c r="A433" s="34"/>
      <c r="B433" s="35"/>
      <c r="C433" s="40">
        <v>4</v>
      </c>
      <c r="D433" s="40">
        <v>0.2</v>
      </c>
      <c r="E433" s="40">
        <v>0.3</v>
      </c>
      <c r="F433" s="40">
        <v>3.2</v>
      </c>
      <c r="G433" s="40"/>
      <c r="H433" s="40"/>
      <c r="I433" s="40">
        <f t="shared" si="58"/>
        <v>0.192</v>
      </c>
      <c r="J433" s="40">
        <f t="shared" si="59"/>
        <v>0.192</v>
      </c>
      <c r="K433" s="40">
        <f t="shared" si="60"/>
        <v>0.76800000000000002</v>
      </c>
      <c r="L433" s="40"/>
      <c r="M433" s="59"/>
      <c r="N433" s="97"/>
      <c r="O433" s="32"/>
      <c r="P433" s="85"/>
      <c r="Q433" s="126"/>
      <c r="R433" s="126"/>
      <c r="S433" s="126"/>
      <c r="T433" s="85"/>
      <c r="U433" s="85"/>
      <c r="V433" s="85"/>
      <c r="W433" s="85"/>
    </row>
    <row r="434" spans="1:23" s="33" customFormat="1" ht="13.8" x14ac:dyDescent="0.25">
      <c r="A434" s="34"/>
      <c r="B434" s="35"/>
      <c r="C434" s="40">
        <v>4</v>
      </c>
      <c r="D434" s="40">
        <v>0.2</v>
      </c>
      <c r="E434" s="40">
        <v>0.35</v>
      </c>
      <c r="F434" s="40">
        <v>3.2</v>
      </c>
      <c r="G434" s="40"/>
      <c r="H434" s="40"/>
      <c r="I434" s="40">
        <f t="shared" si="58"/>
        <v>0.22399999999999998</v>
      </c>
      <c r="J434" s="40">
        <f t="shared" si="59"/>
        <v>0.22399999999999998</v>
      </c>
      <c r="K434" s="40">
        <f t="shared" si="60"/>
        <v>0.89599999999999991</v>
      </c>
      <c r="L434" s="40"/>
      <c r="M434" s="59"/>
      <c r="N434" s="97"/>
      <c r="O434" s="32"/>
      <c r="P434" s="85"/>
      <c r="Q434" s="126"/>
      <c r="R434" s="126"/>
      <c r="S434" s="126"/>
      <c r="T434" s="85"/>
      <c r="U434" s="85"/>
      <c r="V434" s="85"/>
      <c r="W434" s="85"/>
    </row>
    <row r="435" spans="1:23" s="33" customFormat="1" ht="13.8" x14ac:dyDescent="0.25">
      <c r="A435" s="34"/>
      <c r="B435" s="35"/>
      <c r="C435" s="40">
        <v>2</v>
      </c>
      <c r="D435" s="40">
        <v>0.2</v>
      </c>
      <c r="E435" s="40">
        <v>0.4</v>
      </c>
      <c r="F435" s="40">
        <v>3.2</v>
      </c>
      <c r="G435" s="40"/>
      <c r="H435" s="40"/>
      <c r="I435" s="40">
        <f t="shared" si="58"/>
        <v>0.25600000000000006</v>
      </c>
      <c r="J435" s="40">
        <f t="shared" si="59"/>
        <v>0.25600000000000006</v>
      </c>
      <c r="K435" s="40">
        <f t="shared" si="60"/>
        <v>0.51200000000000012</v>
      </c>
      <c r="L435" s="40"/>
      <c r="M435" s="59"/>
      <c r="N435" s="97"/>
      <c r="O435" s="32"/>
      <c r="P435" s="85"/>
      <c r="Q435" s="126"/>
      <c r="R435" s="126"/>
      <c r="S435" s="126"/>
      <c r="T435" s="85"/>
      <c r="U435" s="85"/>
      <c r="V435" s="85"/>
      <c r="W435" s="85"/>
    </row>
    <row r="436" spans="1:23" s="33" customFormat="1" ht="13.8" x14ac:dyDescent="0.25">
      <c r="A436" s="34"/>
      <c r="B436" s="35"/>
      <c r="C436" s="40">
        <v>4</v>
      </c>
      <c r="D436" s="40">
        <v>0.2</v>
      </c>
      <c r="E436" s="40">
        <v>0.45</v>
      </c>
      <c r="F436" s="40">
        <v>3.2</v>
      </c>
      <c r="G436" s="40"/>
      <c r="H436" s="40"/>
      <c r="I436" s="40">
        <f t="shared" si="58"/>
        <v>0.28800000000000003</v>
      </c>
      <c r="J436" s="40">
        <f t="shared" si="59"/>
        <v>0.28800000000000003</v>
      </c>
      <c r="K436" s="40">
        <f t="shared" si="60"/>
        <v>1.1520000000000001</v>
      </c>
      <c r="L436" s="40"/>
      <c r="M436" s="59"/>
      <c r="N436" s="97"/>
      <c r="O436" s="32"/>
      <c r="P436" s="85"/>
      <c r="Q436" s="126"/>
      <c r="R436" s="126"/>
      <c r="S436" s="126"/>
      <c r="T436" s="85"/>
      <c r="U436" s="85"/>
      <c r="V436" s="85"/>
      <c r="W436" s="85"/>
    </row>
    <row r="437" spans="1:23" s="33" customFormat="1" ht="13.8" x14ac:dyDescent="0.25">
      <c r="A437" s="34"/>
      <c r="B437" s="35"/>
      <c r="C437" s="40">
        <v>1</v>
      </c>
      <c r="D437" s="40">
        <v>0.2</v>
      </c>
      <c r="E437" s="40">
        <v>0.5</v>
      </c>
      <c r="F437" s="40">
        <v>3.2</v>
      </c>
      <c r="G437" s="40"/>
      <c r="H437" s="40"/>
      <c r="I437" s="40">
        <f t="shared" si="58"/>
        <v>0.32000000000000006</v>
      </c>
      <c r="J437" s="40">
        <f t="shared" si="59"/>
        <v>0.32000000000000006</v>
      </c>
      <c r="K437" s="40">
        <f t="shared" si="60"/>
        <v>0.32000000000000006</v>
      </c>
      <c r="L437" s="40"/>
      <c r="M437" s="59"/>
      <c r="N437" s="97"/>
      <c r="O437" s="32"/>
      <c r="P437" s="85"/>
      <c r="Q437" s="126"/>
      <c r="R437" s="126"/>
      <c r="S437" s="126"/>
      <c r="T437" s="85"/>
      <c r="U437" s="85"/>
      <c r="V437" s="85"/>
      <c r="W437" s="85"/>
    </row>
    <row r="438" spans="1:23" s="33" customFormat="1" ht="13.8" x14ac:dyDescent="0.25">
      <c r="A438" s="34"/>
      <c r="B438" s="35"/>
      <c r="C438" s="40">
        <v>3</v>
      </c>
      <c r="D438" s="40">
        <v>0.3</v>
      </c>
      <c r="E438" s="40">
        <v>0.5</v>
      </c>
      <c r="F438" s="40">
        <v>3.2</v>
      </c>
      <c r="G438" s="40"/>
      <c r="H438" s="40"/>
      <c r="I438" s="40">
        <f t="shared" si="58"/>
        <v>0.48</v>
      </c>
      <c r="J438" s="40">
        <f t="shared" si="59"/>
        <v>0.48</v>
      </c>
      <c r="K438" s="40">
        <f t="shared" si="60"/>
        <v>1.44</v>
      </c>
      <c r="L438" s="40"/>
      <c r="M438" s="59"/>
      <c r="N438" s="97"/>
      <c r="O438" s="32"/>
      <c r="P438" s="85"/>
      <c r="Q438" s="126"/>
      <c r="R438" s="126"/>
      <c r="S438" s="126"/>
      <c r="T438" s="85"/>
      <c r="U438" s="85"/>
      <c r="V438" s="85"/>
      <c r="W438" s="85"/>
    </row>
    <row r="439" spans="1:23" s="33" customFormat="1" ht="13.8" x14ac:dyDescent="0.25">
      <c r="A439" s="34"/>
      <c r="B439" s="35"/>
      <c r="C439" s="40">
        <v>1</v>
      </c>
      <c r="D439" s="40">
        <v>0.3</v>
      </c>
      <c r="E439" s="40">
        <v>1</v>
      </c>
      <c r="F439" s="40">
        <v>3.2</v>
      </c>
      <c r="G439" s="40"/>
      <c r="H439" s="40"/>
      <c r="I439" s="40">
        <f t="shared" si="58"/>
        <v>0.96</v>
      </c>
      <c r="J439" s="40">
        <f t="shared" si="59"/>
        <v>0.96</v>
      </c>
      <c r="K439" s="40">
        <f t="shared" si="60"/>
        <v>0.96</v>
      </c>
      <c r="L439" s="40"/>
      <c r="M439" s="59"/>
      <c r="N439" s="97"/>
      <c r="O439" s="32"/>
      <c r="P439" s="85"/>
      <c r="Q439" s="126"/>
      <c r="R439" s="126"/>
      <c r="S439" s="126"/>
      <c r="T439" s="85"/>
      <c r="U439" s="85"/>
      <c r="V439" s="85"/>
      <c r="W439" s="85"/>
    </row>
    <row r="440" spans="1:23" s="33" customFormat="1" ht="13.8" x14ac:dyDescent="0.25">
      <c r="A440" s="34"/>
      <c r="B440" s="35"/>
      <c r="C440" s="59">
        <f>+SUM(C432:C439)</f>
        <v>38</v>
      </c>
      <c r="D440" s="40"/>
      <c r="E440" s="40"/>
      <c r="F440" s="40"/>
      <c r="G440" s="40"/>
      <c r="H440" s="40"/>
      <c r="I440" s="40"/>
      <c r="J440" s="40"/>
      <c r="K440" s="40"/>
      <c r="L440" s="40"/>
      <c r="M440" s="59"/>
      <c r="N440" s="97"/>
      <c r="O440" s="32"/>
      <c r="P440" s="85"/>
      <c r="Q440" s="126"/>
      <c r="R440" s="126"/>
      <c r="S440" s="126"/>
      <c r="T440" s="85"/>
      <c r="U440" s="85"/>
      <c r="V440" s="85"/>
      <c r="W440" s="85"/>
    </row>
    <row r="441" spans="1:23" s="33" customFormat="1" ht="13.8" x14ac:dyDescent="0.25">
      <c r="A441" s="34"/>
      <c r="B441" s="58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59"/>
      <c r="N441" s="59"/>
      <c r="O441" s="32"/>
      <c r="P441" s="85"/>
      <c r="Q441" s="126"/>
      <c r="R441" s="126"/>
      <c r="S441" s="126"/>
      <c r="T441" s="85"/>
      <c r="U441" s="85"/>
      <c r="V441" s="85"/>
      <c r="W441" s="85"/>
    </row>
    <row r="442" spans="1:23" s="33" customFormat="1" ht="13.8" x14ac:dyDescent="0.25">
      <c r="A442" s="34"/>
      <c r="B442" s="164" t="s">
        <v>507</v>
      </c>
      <c r="C442" s="40"/>
      <c r="D442" s="40"/>
      <c r="E442" s="40"/>
      <c r="F442" s="40"/>
      <c r="G442" s="40"/>
      <c r="H442" s="40"/>
      <c r="I442" s="40"/>
      <c r="J442" s="40"/>
      <c r="K442" s="172">
        <f>+SUM(K444:K462)</f>
        <v>17.747999999999998</v>
      </c>
      <c r="L442" s="167"/>
      <c r="M442" s="59"/>
      <c r="N442" s="97"/>
      <c r="O442" s="32"/>
      <c r="P442" s="85"/>
      <c r="Q442" s="126"/>
      <c r="R442" s="126"/>
      <c r="S442" s="126"/>
      <c r="T442" s="85"/>
      <c r="U442" s="85"/>
      <c r="V442" s="85"/>
      <c r="W442" s="85"/>
    </row>
    <row r="443" spans="1:23" s="33" customFormat="1" ht="13.8" x14ac:dyDescent="0.25">
      <c r="A443" s="34"/>
      <c r="B443" s="58" t="s">
        <v>203</v>
      </c>
      <c r="C443" s="40"/>
      <c r="D443" s="40"/>
      <c r="E443" s="40"/>
      <c r="F443" s="40"/>
      <c r="G443" s="40"/>
      <c r="H443" s="40"/>
      <c r="I443" s="40"/>
      <c r="J443" s="40"/>
      <c r="K443" s="59"/>
      <c r="L443" s="59"/>
      <c r="M443" s="59"/>
      <c r="N443" s="97"/>
      <c r="O443" s="32"/>
      <c r="P443" s="85"/>
      <c r="Q443" s="126"/>
      <c r="R443" s="126"/>
      <c r="S443" s="126"/>
      <c r="T443" s="85"/>
      <c r="U443" s="85"/>
      <c r="V443" s="85"/>
      <c r="W443" s="85"/>
    </row>
    <row r="444" spans="1:23" s="33" customFormat="1" ht="13.8" x14ac:dyDescent="0.25">
      <c r="A444" s="34"/>
      <c r="B444" s="35"/>
      <c r="C444" s="40">
        <v>4</v>
      </c>
      <c r="D444" s="40">
        <v>11</v>
      </c>
      <c r="E444" s="40">
        <v>0.2</v>
      </c>
      <c r="F444" s="40">
        <v>0.4</v>
      </c>
      <c r="G444" s="40"/>
      <c r="H444" s="40"/>
      <c r="I444" s="40">
        <f t="shared" ref="I444:I445" si="61">+F444*E444*D444</f>
        <v>0.88000000000000012</v>
      </c>
      <c r="J444" s="40">
        <f t="shared" ref="J444:J445" si="62">+I444</f>
        <v>0.88000000000000012</v>
      </c>
      <c r="K444" s="40">
        <f t="shared" ref="K444:K445" si="63">+J444*C444</f>
        <v>3.5200000000000005</v>
      </c>
      <c r="L444" s="131"/>
      <c r="M444" s="59"/>
      <c r="N444" s="97"/>
      <c r="O444" s="32"/>
      <c r="P444" s="85"/>
      <c r="Q444" s="126"/>
      <c r="R444" s="126"/>
      <c r="S444" s="126"/>
      <c r="T444" s="85"/>
      <c r="U444" s="85"/>
      <c r="V444" s="85"/>
      <c r="W444" s="85"/>
    </row>
    <row r="445" spans="1:23" s="33" customFormat="1" ht="13.8" x14ac:dyDescent="0.25">
      <c r="A445" s="34"/>
      <c r="B445" s="35"/>
      <c r="C445" s="40">
        <v>2</v>
      </c>
      <c r="D445" s="40">
        <v>14.8</v>
      </c>
      <c r="E445" s="40">
        <v>0.2</v>
      </c>
      <c r="F445" s="40">
        <v>0.3</v>
      </c>
      <c r="G445" s="40"/>
      <c r="H445" s="40"/>
      <c r="I445" s="40">
        <f t="shared" si="61"/>
        <v>0.88800000000000001</v>
      </c>
      <c r="J445" s="40">
        <f t="shared" si="62"/>
        <v>0.88800000000000001</v>
      </c>
      <c r="K445" s="40">
        <f t="shared" si="63"/>
        <v>1.776</v>
      </c>
      <c r="L445" s="131"/>
      <c r="M445" s="59"/>
      <c r="N445" s="97"/>
      <c r="O445" s="32"/>
      <c r="P445" s="85"/>
      <c r="Q445" s="126"/>
      <c r="R445" s="126"/>
      <c r="S445" s="126"/>
      <c r="T445" s="85"/>
      <c r="U445" s="85"/>
      <c r="V445" s="85"/>
      <c r="W445" s="85"/>
    </row>
    <row r="446" spans="1:23" s="33" customFormat="1" ht="13.8" x14ac:dyDescent="0.25">
      <c r="A446" s="34"/>
      <c r="B446" s="35"/>
      <c r="C446" s="40"/>
      <c r="D446" s="40"/>
      <c r="E446" s="40"/>
      <c r="F446" s="40"/>
      <c r="G446" s="40"/>
      <c r="H446" s="40"/>
      <c r="I446" s="40"/>
      <c r="J446" s="40"/>
      <c r="K446" s="40"/>
      <c r="L446" s="131"/>
      <c r="M446" s="59"/>
      <c r="N446" s="97"/>
      <c r="O446" s="32"/>
      <c r="P446" s="85"/>
      <c r="Q446" s="126"/>
      <c r="R446" s="126"/>
      <c r="S446" s="126"/>
      <c r="T446" s="85"/>
      <c r="U446" s="85"/>
      <c r="V446" s="85"/>
      <c r="W446" s="85"/>
    </row>
    <row r="447" spans="1:23" s="33" customFormat="1" ht="13.8" x14ac:dyDescent="0.25">
      <c r="A447" s="34"/>
      <c r="B447" s="58" t="s">
        <v>508</v>
      </c>
      <c r="C447" s="40"/>
      <c r="D447" s="40"/>
      <c r="E447" s="40"/>
      <c r="F447" s="40"/>
      <c r="G447" s="40"/>
      <c r="H447" s="40"/>
      <c r="I447" s="40"/>
      <c r="J447" s="40"/>
      <c r="K447" s="59"/>
      <c r="L447" s="59"/>
      <c r="M447" s="59"/>
      <c r="N447" s="97"/>
      <c r="O447" s="32"/>
      <c r="P447" s="85"/>
      <c r="Q447" s="126"/>
      <c r="R447" s="126"/>
      <c r="S447" s="126"/>
      <c r="T447" s="85"/>
      <c r="U447" s="85"/>
      <c r="V447" s="85"/>
      <c r="W447" s="85"/>
    </row>
    <row r="448" spans="1:23" s="33" customFormat="1" ht="13.8" x14ac:dyDescent="0.25">
      <c r="A448" s="34"/>
      <c r="B448" s="35"/>
      <c r="C448" s="40">
        <v>4</v>
      </c>
      <c r="D448" s="40">
        <v>11</v>
      </c>
      <c r="E448" s="40">
        <v>0.2</v>
      </c>
      <c r="F448" s="40">
        <v>0.15</v>
      </c>
      <c r="G448" s="40"/>
      <c r="H448" s="40"/>
      <c r="I448" s="40">
        <f t="shared" ref="I448:I449" si="64">+F448*E448*D448</f>
        <v>0.32999999999999996</v>
      </c>
      <c r="J448" s="40">
        <f t="shared" ref="J448:J449" si="65">+I448</f>
        <v>0.32999999999999996</v>
      </c>
      <c r="K448" s="40">
        <f t="shared" ref="K448:K449" si="66">+J448*C448</f>
        <v>1.3199999999999998</v>
      </c>
      <c r="L448" s="131"/>
      <c r="M448" s="59"/>
      <c r="N448" s="97"/>
      <c r="O448" s="32"/>
      <c r="P448" s="85"/>
      <c r="Q448" s="126"/>
      <c r="R448" s="126"/>
      <c r="S448" s="126"/>
      <c r="T448" s="85"/>
      <c r="U448" s="85"/>
      <c r="V448" s="85"/>
      <c r="W448" s="85"/>
    </row>
    <row r="449" spans="1:23" s="33" customFormat="1" ht="13.8" x14ac:dyDescent="0.25">
      <c r="A449" s="34"/>
      <c r="B449" s="35"/>
      <c r="C449" s="40">
        <v>2</v>
      </c>
      <c r="D449" s="40">
        <v>14.8</v>
      </c>
      <c r="E449" s="40">
        <v>0.2</v>
      </c>
      <c r="F449" s="40">
        <v>0.15</v>
      </c>
      <c r="G449" s="40"/>
      <c r="H449" s="40"/>
      <c r="I449" s="40">
        <f t="shared" si="64"/>
        <v>0.44400000000000001</v>
      </c>
      <c r="J449" s="40">
        <f t="shared" si="65"/>
        <v>0.44400000000000001</v>
      </c>
      <c r="K449" s="40">
        <f t="shared" si="66"/>
        <v>0.88800000000000001</v>
      </c>
      <c r="L449" s="131"/>
      <c r="M449" s="59"/>
      <c r="N449" s="97"/>
      <c r="O449" s="32"/>
      <c r="P449" s="85"/>
      <c r="Q449" s="126"/>
      <c r="R449" s="126"/>
      <c r="S449" s="126"/>
      <c r="T449" s="85"/>
      <c r="U449" s="85"/>
      <c r="V449" s="85"/>
      <c r="W449" s="85"/>
    </row>
    <row r="450" spans="1:23" s="33" customFormat="1" ht="13.8" x14ac:dyDescent="0.25">
      <c r="A450" s="34"/>
      <c r="B450" s="58" t="s">
        <v>565</v>
      </c>
      <c r="C450" s="40"/>
      <c r="D450" s="40"/>
      <c r="E450" s="40"/>
      <c r="F450" s="40"/>
      <c r="G450" s="40"/>
      <c r="H450" s="40"/>
      <c r="I450" s="40"/>
      <c r="J450" s="40"/>
      <c r="K450" s="59"/>
      <c r="L450" s="59"/>
      <c r="M450" s="59"/>
      <c r="N450" s="97"/>
      <c r="O450" s="32"/>
      <c r="P450" s="85"/>
      <c r="Q450" s="126"/>
      <c r="R450" s="126"/>
      <c r="S450" s="126"/>
      <c r="T450" s="85"/>
      <c r="U450" s="85"/>
      <c r="V450" s="85"/>
      <c r="W450" s="85"/>
    </row>
    <row r="451" spans="1:23" s="33" customFormat="1" ht="13.8" x14ac:dyDescent="0.25">
      <c r="A451" s="34"/>
      <c r="B451" s="35"/>
      <c r="C451" s="40">
        <v>3</v>
      </c>
      <c r="D451" s="40">
        <v>14.8</v>
      </c>
      <c r="E451" s="40">
        <v>0.2</v>
      </c>
      <c r="F451" s="40">
        <v>0.1</v>
      </c>
      <c r="G451" s="40"/>
      <c r="H451" s="40"/>
      <c r="I451" s="40">
        <f t="shared" ref="I451" si="67">+F451*E451*D451</f>
        <v>0.2960000000000001</v>
      </c>
      <c r="J451" s="40">
        <f t="shared" ref="J451" si="68">+I451</f>
        <v>0.2960000000000001</v>
      </c>
      <c r="K451" s="40">
        <f t="shared" ref="K451" si="69">+J451*C451</f>
        <v>0.88800000000000034</v>
      </c>
      <c r="L451" s="131"/>
      <c r="M451" s="59"/>
      <c r="N451" s="97"/>
      <c r="O451" s="32"/>
      <c r="P451" s="85"/>
      <c r="Q451" s="126"/>
      <c r="R451" s="126"/>
      <c r="S451" s="126"/>
      <c r="T451" s="85"/>
      <c r="U451" s="85"/>
      <c r="V451" s="85"/>
      <c r="W451" s="85"/>
    </row>
    <row r="452" spans="1:23" s="33" customFormat="1" ht="13.8" x14ac:dyDescent="0.25">
      <c r="A452" s="34"/>
      <c r="B452" s="35"/>
      <c r="C452" s="40"/>
      <c r="D452" s="40"/>
      <c r="E452" s="40"/>
      <c r="F452" s="40"/>
      <c r="G452" s="40"/>
      <c r="H452" s="40"/>
      <c r="I452" s="40"/>
      <c r="J452" s="40"/>
      <c r="K452" s="40"/>
      <c r="L452" s="131"/>
      <c r="M452" s="59"/>
      <c r="N452" s="97"/>
      <c r="O452" s="32"/>
      <c r="P452" s="85"/>
      <c r="Q452" s="126"/>
      <c r="R452" s="126"/>
      <c r="S452" s="126"/>
      <c r="T452" s="85"/>
      <c r="U452" s="85"/>
      <c r="V452" s="85"/>
      <c r="W452" s="85"/>
    </row>
    <row r="453" spans="1:23" s="33" customFormat="1" ht="13.8" x14ac:dyDescent="0.25">
      <c r="A453" s="34"/>
      <c r="B453" s="58" t="s">
        <v>108</v>
      </c>
      <c r="C453" s="40"/>
      <c r="D453" s="40"/>
      <c r="E453" s="40"/>
      <c r="F453" s="40"/>
      <c r="G453" s="40"/>
      <c r="H453" s="40"/>
      <c r="I453" s="40"/>
      <c r="J453" s="40"/>
      <c r="K453" s="59"/>
      <c r="L453" s="59"/>
      <c r="M453" s="59"/>
      <c r="N453" s="97"/>
      <c r="O453" s="32"/>
      <c r="P453" s="85"/>
      <c r="Q453" s="126"/>
      <c r="R453" s="126"/>
      <c r="S453" s="126"/>
      <c r="T453" s="85"/>
      <c r="U453" s="85"/>
      <c r="V453" s="85"/>
      <c r="W453" s="85"/>
    </row>
    <row r="454" spans="1:23" s="33" customFormat="1" ht="13.8" x14ac:dyDescent="0.25">
      <c r="A454" s="34"/>
      <c r="B454" s="35"/>
      <c r="C454" s="40">
        <v>1</v>
      </c>
      <c r="D454" s="40">
        <v>11</v>
      </c>
      <c r="E454" s="40"/>
      <c r="F454" s="40"/>
      <c r="G454" s="40"/>
      <c r="H454" s="40">
        <v>0.18</v>
      </c>
      <c r="I454" s="40">
        <f>+H454*D454</f>
        <v>1.98</v>
      </c>
      <c r="J454" s="40">
        <f t="shared" ref="J454" si="70">+I454</f>
        <v>1.98</v>
      </c>
      <c r="K454" s="40">
        <f t="shared" ref="K454" si="71">+J454*C454</f>
        <v>1.98</v>
      </c>
      <c r="L454" s="131"/>
      <c r="M454" s="59"/>
      <c r="N454" s="97"/>
      <c r="O454" s="32"/>
      <c r="P454" s="85"/>
      <c r="Q454" s="126"/>
      <c r="R454" s="126"/>
      <c r="S454" s="126"/>
      <c r="T454" s="85"/>
      <c r="U454" s="85"/>
      <c r="V454" s="85"/>
      <c r="W454" s="85"/>
    </row>
    <row r="455" spans="1:23" s="33" customFormat="1" ht="13.8" x14ac:dyDescent="0.25">
      <c r="A455" s="34"/>
      <c r="B455" s="35"/>
      <c r="C455" s="40">
        <v>2</v>
      </c>
      <c r="D455" s="40">
        <v>7.1</v>
      </c>
      <c r="E455" s="40"/>
      <c r="F455" s="40"/>
      <c r="G455" s="40"/>
      <c r="H455" s="40">
        <v>0.18</v>
      </c>
      <c r="I455" s="40">
        <f>+H455*D455</f>
        <v>1.2779999999999998</v>
      </c>
      <c r="J455" s="40">
        <f t="shared" ref="J455" si="72">+I455</f>
        <v>1.2779999999999998</v>
      </c>
      <c r="K455" s="40">
        <f t="shared" ref="K455" si="73">+J455*C455</f>
        <v>2.5559999999999996</v>
      </c>
      <c r="L455" s="131"/>
      <c r="M455" s="59"/>
      <c r="N455" s="97"/>
      <c r="O455" s="32"/>
      <c r="P455" s="85"/>
      <c r="Q455" s="126"/>
      <c r="R455" s="126"/>
      <c r="S455" s="126"/>
      <c r="T455" s="85"/>
      <c r="U455" s="85"/>
      <c r="V455" s="85"/>
      <c r="W455" s="85"/>
    </row>
    <row r="456" spans="1:23" s="33" customFormat="1" ht="13.8" x14ac:dyDescent="0.25">
      <c r="A456" s="34"/>
      <c r="B456" s="35"/>
      <c r="C456" s="40"/>
      <c r="D456" s="40"/>
      <c r="E456" s="40"/>
      <c r="F456" s="40"/>
      <c r="G456" s="40"/>
      <c r="H456" s="40"/>
      <c r="I456" s="40"/>
      <c r="J456" s="40"/>
      <c r="K456" s="40"/>
      <c r="L456" s="131"/>
      <c r="M456" s="59"/>
      <c r="N456" s="97"/>
      <c r="O456" s="32"/>
      <c r="P456" s="85"/>
      <c r="Q456" s="126"/>
      <c r="R456" s="126"/>
      <c r="S456" s="126"/>
      <c r="T456" s="85"/>
      <c r="U456" s="85"/>
      <c r="V456" s="85"/>
      <c r="W456" s="85"/>
    </row>
    <row r="457" spans="1:23" s="33" customFormat="1" ht="13.8" x14ac:dyDescent="0.25">
      <c r="A457" s="34"/>
      <c r="B457" s="61" t="s">
        <v>570</v>
      </c>
      <c r="C457" s="40"/>
      <c r="D457" s="40"/>
      <c r="E457" s="40"/>
      <c r="F457" s="40"/>
      <c r="G457" s="40"/>
      <c r="H457" s="40"/>
      <c r="I457" s="40"/>
      <c r="J457" s="40"/>
      <c r="K457" s="40"/>
      <c r="L457" s="106"/>
      <c r="M457" s="59"/>
      <c r="N457" s="97"/>
      <c r="O457" s="32"/>
      <c r="P457" s="85"/>
      <c r="Q457" s="126"/>
      <c r="R457" s="126"/>
      <c r="S457" s="126"/>
      <c r="T457" s="85"/>
      <c r="U457" s="85"/>
      <c r="V457" s="85"/>
      <c r="W457" s="85"/>
    </row>
    <row r="458" spans="1:23" s="33" customFormat="1" ht="13.8" x14ac:dyDescent="0.25">
      <c r="A458" s="34"/>
      <c r="B458" s="35"/>
      <c r="C458" s="40">
        <v>1</v>
      </c>
      <c r="D458" s="40"/>
      <c r="E458" s="40"/>
      <c r="F458" s="40">
        <v>0.2</v>
      </c>
      <c r="G458" s="40"/>
      <c r="H458" s="40">
        <v>8.9</v>
      </c>
      <c r="I458" s="40">
        <f>+H458*F458</f>
        <v>1.7800000000000002</v>
      </c>
      <c r="J458" s="40">
        <f t="shared" ref="J458" si="74">+I458</f>
        <v>1.7800000000000002</v>
      </c>
      <c r="K458" s="40">
        <f t="shared" ref="K458" si="75">+J458*C458</f>
        <v>1.7800000000000002</v>
      </c>
      <c r="L458" s="40"/>
      <c r="M458" s="59"/>
      <c r="N458" s="97"/>
      <c r="O458" s="32"/>
      <c r="P458" s="85"/>
      <c r="Q458" s="126"/>
      <c r="R458" s="126"/>
      <c r="S458" s="126"/>
      <c r="T458" s="85"/>
      <c r="U458" s="85"/>
      <c r="V458" s="85"/>
      <c r="W458" s="85"/>
    </row>
    <row r="459" spans="1:23" s="33" customFormat="1" ht="13.8" x14ac:dyDescent="0.25">
      <c r="A459" s="34"/>
      <c r="B459" s="35"/>
      <c r="C459" s="40"/>
      <c r="D459" s="40"/>
      <c r="E459" s="40"/>
      <c r="F459" s="40"/>
      <c r="G459" s="40"/>
      <c r="H459" s="40"/>
      <c r="I459" s="40"/>
      <c r="J459" s="40"/>
      <c r="K459" s="40"/>
      <c r="L459" s="131"/>
      <c r="M459" s="59"/>
      <c r="N459" s="97"/>
      <c r="O459" s="32"/>
      <c r="P459" s="85"/>
      <c r="Q459" s="126"/>
      <c r="R459" s="126"/>
      <c r="S459" s="126"/>
      <c r="T459" s="85"/>
      <c r="U459" s="85"/>
      <c r="V459" s="85"/>
      <c r="W459" s="85"/>
    </row>
    <row r="460" spans="1:23" s="33" customFormat="1" ht="13.8" x14ac:dyDescent="0.25">
      <c r="A460" s="34"/>
      <c r="B460" s="35"/>
      <c r="C460" s="40"/>
      <c r="D460" s="40"/>
      <c r="E460" s="40"/>
      <c r="F460" s="40"/>
      <c r="G460" s="40"/>
      <c r="H460" s="40"/>
      <c r="I460" s="40"/>
      <c r="J460" s="40"/>
      <c r="K460" s="40"/>
      <c r="L460" s="131"/>
      <c r="M460" s="59"/>
      <c r="N460" s="97"/>
      <c r="O460" s="32"/>
      <c r="P460" s="85"/>
      <c r="Q460" s="126"/>
      <c r="R460" s="126"/>
      <c r="S460" s="126"/>
      <c r="T460" s="85"/>
      <c r="U460" s="85"/>
      <c r="V460" s="85"/>
      <c r="W460" s="85"/>
    </row>
    <row r="461" spans="1:23" s="33" customFormat="1" ht="13.8" x14ac:dyDescent="0.25">
      <c r="A461" s="34"/>
      <c r="B461" s="61" t="s">
        <v>105</v>
      </c>
      <c r="C461" s="40"/>
      <c r="D461" s="40"/>
      <c r="E461" s="40"/>
      <c r="F461" s="40"/>
      <c r="G461" s="40"/>
      <c r="H461" s="40"/>
      <c r="I461" s="40"/>
      <c r="J461" s="40"/>
      <c r="K461" s="40"/>
      <c r="L461" s="106"/>
      <c r="M461" s="59"/>
      <c r="N461" s="97"/>
      <c r="O461" s="32"/>
      <c r="P461" s="85"/>
      <c r="Q461" s="126"/>
      <c r="R461" s="126"/>
      <c r="S461" s="126"/>
      <c r="T461" s="85"/>
      <c r="U461" s="85"/>
      <c r="V461" s="85"/>
      <c r="W461" s="85"/>
    </row>
    <row r="462" spans="1:23" s="33" customFormat="1" ht="13.8" x14ac:dyDescent="0.25">
      <c r="A462" s="34"/>
      <c r="B462" s="35"/>
      <c r="C462" s="40">
        <v>19</v>
      </c>
      <c r="D462" s="40">
        <v>0.2</v>
      </c>
      <c r="E462" s="40">
        <v>0.25</v>
      </c>
      <c r="F462" s="40">
        <v>3.2</v>
      </c>
      <c r="G462" s="40"/>
      <c r="H462" s="40"/>
      <c r="I462" s="40">
        <f t="shared" ref="I462" si="76">+F462*E462*D462</f>
        <v>0.16000000000000003</v>
      </c>
      <c r="J462" s="40">
        <f t="shared" ref="J462" si="77">+I462</f>
        <v>0.16000000000000003</v>
      </c>
      <c r="K462" s="40">
        <f t="shared" ref="K462" si="78">+J462*C462</f>
        <v>3.0400000000000005</v>
      </c>
      <c r="L462" s="40"/>
      <c r="M462" s="59"/>
      <c r="N462" s="97"/>
      <c r="O462" s="32"/>
      <c r="P462" s="85"/>
      <c r="Q462" s="126"/>
      <c r="R462" s="126"/>
      <c r="S462" s="126"/>
      <c r="T462" s="85"/>
      <c r="U462" s="85"/>
      <c r="V462" s="85"/>
      <c r="W462" s="85"/>
    </row>
    <row r="463" spans="1:23" s="33" customFormat="1" ht="13.8" x14ac:dyDescent="0.25">
      <c r="A463" s="34"/>
      <c r="B463" s="35"/>
      <c r="C463" s="59">
        <f>+SUM(C462:C462)</f>
        <v>19</v>
      </c>
      <c r="D463" s="40"/>
      <c r="E463" s="40"/>
      <c r="F463" s="40"/>
      <c r="G463" s="40"/>
      <c r="H463" s="40"/>
      <c r="I463" s="40"/>
      <c r="J463" s="40"/>
      <c r="K463" s="40"/>
      <c r="L463" s="40"/>
      <c r="M463" s="59"/>
      <c r="N463" s="97"/>
      <c r="O463" s="32"/>
      <c r="P463" s="85"/>
      <c r="Q463" s="126"/>
      <c r="R463" s="126"/>
      <c r="S463" s="126"/>
      <c r="T463" s="85"/>
      <c r="U463" s="85"/>
      <c r="V463" s="85"/>
      <c r="W463" s="85"/>
    </row>
    <row r="464" spans="1:23" s="33" customFormat="1" ht="13.8" x14ac:dyDescent="0.25">
      <c r="A464" s="34"/>
      <c r="B464" s="58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59"/>
      <c r="N464" s="59"/>
      <c r="O464" s="32"/>
      <c r="P464" s="85"/>
      <c r="Q464" s="126"/>
      <c r="R464" s="126"/>
      <c r="S464" s="126"/>
      <c r="T464" s="85"/>
      <c r="U464" s="85"/>
      <c r="V464" s="85"/>
      <c r="W464" s="85"/>
    </row>
    <row r="465" spans="1:23" s="33" customFormat="1" ht="13.8" x14ac:dyDescent="0.25">
      <c r="A465" s="34"/>
      <c r="B465" s="164" t="s">
        <v>509</v>
      </c>
      <c r="C465" s="40"/>
      <c r="D465" s="40"/>
      <c r="E465" s="40"/>
      <c r="F465" s="40"/>
      <c r="G465" s="40"/>
      <c r="H465" s="40"/>
      <c r="I465" s="40"/>
      <c r="J465" s="40"/>
      <c r="K465" s="172">
        <f>+SUM(K467:K472)</f>
        <v>13.207500000000001</v>
      </c>
      <c r="L465" s="167"/>
      <c r="M465" s="59"/>
      <c r="N465" s="97"/>
      <c r="O465" s="32"/>
      <c r="P465" s="85"/>
      <c r="Q465" s="126"/>
      <c r="R465" s="126"/>
      <c r="S465" s="126"/>
      <c r="T465" s="85"/>
      <c r="U465" s="85"/>
      <c r="V465" s="85"/>
      <c r="W465" s="85"/>
    </row>
    <row r="466" spans="1:23" s="33" customFormat="1" ht="13.8" x14ac:dyDescent="0.25">
      <c r="A466" s="34"/>
      <c r="C466" s="40"/>
      <c r="D466" s="40"/>
      <c r="E466" s="40"/>
      <c r="F466" s="40"/>
      <c r="G466" s="40"/>
      <c r="H466" s="40"/>
      <c r="I466" s="40"/>
      <c r="J466" s="40"/>
      <c r="K466" s="59"/>
      <c r="L466" s="59"/>
      <c r="M466" s="59"/>
      <c r="N466" s="97"/>
      <c r="O466" s="32"/>
      <c r="P466" s="85"/>
      <c r="Q466" s="126"/>
      <c r="R466" s="126"/>
      <c r="S466" s="126"/>
      <c r="T466" s="85"/>
      <c r="U466" s="85"/>
      <c r="V466" s="85"/>
      <c r="W466" s="85"/>
    </row>
    <row r="467" spans="1:23" s="33" customFormat="1" ht="13.8" x14ac:dyDescent="0.25">
      <c r="A467" s="34"/>
      <c r="B467" s="58" t="s">
        <v>510</v>
      </c>
      <c r="C467" s="40">
        <v>1</v>
      </c>
      <c r="D467" s="40">
        <v>3.6</v>
      </c>
      <c r="E467" s="40">
        <v>1.2</v>
      </c>
      <c r="F467" s="40">
        <v>0.45</v>
      </c>
      <c r="G467" s="40"/>
      <c r="H467" s="40"/>
      <c r="I467" s="40">
        <f t="shared" ref="I467:I470" si="79">+F467*E467*D467</f>
        <v>1.9440000000000002</v>
      </c>
      <c r="J467" s="40">
        <f t="shared" ref="J467:J470" si="80">+I467</f>
        <v>1.9440000000000002</v>
      </c>
      <c r="K467" s="40">
        <f t="shared" ref="K467:K470" si="81">+J467*C467</f>
        <v>1.9440000000000002</v>
      </c>
      <c r="L467" s="131"/>
      <c r="M467" s="59"/>
      <c r="N467" s="97"/>
      <c r="O467" s="32"/>
      <c r="P467" s="85"/>
      <c r="Q467" s="126"/>
      <c r="R467" s="126"/>
      <c r="S467" s="126"/>
      <c r="T467" s="85"/>
      <c r="U467" s="85"/>
      <c r="V467" s="85"/>
      <c r="W467" s="85"/>
    </row>
    <row r="468" spans="1:23" s="33" customFormat="1" ht="13.8" x14ac:dyDescent="0.25">
      <c r="A468" s="34"/>
      <c r="B468" s="58"/>
      <c r="C468" s="40">
        <v>2</v>
      </c>
      <c r="D468" s="40">
        <v>0.85</v>
      </c>
      <c r="E468" s="40">
        <v>0.9</v>
      </c>
      <c r="F468" s="40">
        <v>0.45</v>
      </c>
      <c r="G468" s="40"/>
      <c r="H468" s="40"/>
      <c r="I468" s="40">
        <f t="shared" ref="I468" si="82">+F468*E468*D468</f>
        <v>0.34425</v>
      </c>
      <c r="J468" s="40">
        <f t="shared" si="80"/>
        <v>0.34425</v>
      </c>
      <c r="K468" s="40">
        <f t="shared" ref="K468" si="83">+J468*C468</f>
        <v>0.6885</v>
      </c>
      <c r="L468" s="131"/>
      <c r="M468" s="59"/>
      <c r="N468" s="97"/>
      <c r="O468" s="32"/>
      <c r="P468" s="85"/>
      <c r="Q468" s="126"/>
      <c r="R468" s="126"/>
      <c r="S468" s="126"/>
      <c r="T468" s="85"/>
      <c r="U468" s="85"/>
      <c r="V468" s="85"/>
      <c r="W468" s="85"/>
    </row>
    <row r="469" spans="1:23" s="33" customFormat="1" ht="13.8" x14ac:dyDescent="0.25">
      <c r="A469" s="34"/>
      <c r="B469" s="58"/>
      <c r="C469" s="40">
        <v>1</v>
      </c>
      <c r="D469" s="40">
        <v>1.7</v>
      </c>
      <c r="E469" s="40">
        <v>1</v>
      </c>
      <c r="F469" s="40">
        <v>0.45</v>
      </c>
      <c r="G469" s="40"/>
      <c r="H469" s="40"/>
      <c r="I469" s="40">
        <f t="shared" ref="I469" si="84">+F469*E469*D469</f>
        <v>0.76500000000000001</v>
      </c>
      <c r="J469" s="40">
        <f t="shared" si="80"/>
        <v>0.76500000000000001</v>
      </c>
      <c r="K469" s="40">
        <f t="shared" ref="K469" si="85">+J469*C469</f>
        <v>0.76500000000000001</v>
      </c>
      <c r="L469" s="131"/>
      <c r="M469" s="59"/>
      <c r="N469" s="97"/>
      <c r="O469" s="32"/>
      <c r="P469" s="85"/>
      <c r="Q469" s="126"/>
      <c r="R469" s="126"/>
      <c r="S469" s="126"/>
      <c r="T469" s="85"/>
      <c r="U469" s="85"/>
      <c r="V469" s="85"/>
      <c r="W469" s="85"/>
    </row>
    <row r="470" spans="1:23" s="33" customFormat="1" ht="13.8" x14ac:dyDescent="0.25">
      <c r="A470" s="34"/>
      <c r="B470" s="61" t="s">
        <v>356</v>
      </c>
      <c r="C470" s="40">
        <v>1</v>
      </c>
      <c r="D470" s="40">
        <v>6.5</v>
      </c>
      <c r="E470" s="40">
        <v>1</v>
      </c>
      <c r="F470" s="40">
        <v>0.45</v>
      </c>
      <c r="G470" s="40"/>
      <c r="H470" s="40"/>
      <c r="I470" s="40">
        <f t="shared" si="79"/>
        <v>2.9250000000000003</v>
      </c>
      <c r="J470" s="40">
        <f t="shared" si="80"/>
        <v>2.9250000000000003</v>
      </c>
      <c r="K470" s="40">
        <f t="shared" si="81"/>
        <v>2.9250000000000003</v>
      </c>
      <c r="L470" s="131"/>
      <c r="M470" s="59"/>
      <c r="N470" s="97"/>
      <c r="O470" s="32"/>
      <c r="P470" s="85"/>
      <c r="Q470" s="126"/>
      <c r="R470" s="126"/>
      <c r="S470" s="126"/>
      <c r="T470" s="85"/>
      <c r="U470" s="85"/>
      <c r="V470" s="85"/>
      <c r="W470" s="85"/>
    </row>
    <row r="471" spans="1:23" s="33" customFormat="1" ht="13.8" x14ac:dyDescent="0.25">
      <c r="A471" s="34"/>
      <c r="B471" s="61" t="s">
        <v>357</v>
      </c>
      <c r="C471" s="40">
        <v>1</v>
      </c>
      <c r="D471" s="40">
        <v>6.5</v>
      </c>
      <c r="E471" s="40">
        <v>1</v>
      </c>
      <c r="F471" s="40">
        <v>0.45</v>
      </c>
      <c r="G471" s="40"/>
      <c r="H471" s="40"/>
      <c r="I471" s="40">
        <f t="shared" ref="I471:I472" si="86">+F471*E471*D471</f>
        <v>2.9250000000000003</v>
      </c>
      <c r="J471" s="40">
        <f t="shared" ref="J471:J472" si="87">+I471</f>
        <v>2.9250000000000003</v>
      </c>
      <c r="K471" s="40">
        <f t="shared" ref="K471:K472" si="88">+J471*C471</f>
        <v>2.9250000000000003</v>
      </c>
      <c r="L471" s="131"/>
      <c r="M471" s="59"/>
      <c r="N471" s="97"/>
      <c r="O471" s="32"/>
      <c r="P471" s="85"/>
      <c r="Q471" s="126"/>
      <c r="R471" s="126"/>
      <c r="S471" s="126"/>
      <c r="T471" s="85"/>
      <c r="U471" s="85"/>
      <c r="V471" s="85"/>
      <c r="W471" s="85"/>
    </row>
    <row r="472" spans="1:23" s="33" customFormat="1" ht="13.8" x14ac:dyDescent="0.25">
      <c r="A472" s="34"/>
      <c r="B472" s="61" t="s">
        <v>358</v>
      </c>
      <c r="C472" s="40">
        <v>1</v>
      </c>
      <c r="D472" s="40">
        <v>8.8000000000000007</v>
      </c>
      <c r="E472" s="40">
        <v>1</v>
      </c>
      <c r="F472" s="40">
        <v>0.45</v>
      </c>
      <c r="G472" s="40"/>
      <c r="H472" s="40"/>
      <c r="I472" s="40">
        <f t="shared" si="86"/>
        <v>3.9600000000000004</v>
      </c>
      <c r="J472" s="40">
        <f t="shared" si="87"/>
        <v>3.9600000000000004</v>
      </c>
      <c r="K472" s="40">
        <f t="shared" si="88"/>
        <v>3.9600000000000004</v>
      </c>
      <c r="L472" s="131"/>
      <c r="M472" s="59"/>
      <c r="N472" s="97"/>
      <c r="O472" s="32"/>
      <c r="P472" s="85"/>
      <c r="Q472" s="126"/>
      <c r="R472" s="126"/>
      <c r="S472" s="126"/>
      <c r="T472" s="85"/>
      <c r="U472" s="85"/>
      <c r="V472" s="85"/>
      <c r="W472" s="85"/>
    </row>
    <row r="473" spans="1:23" s="33" customFormat="1" ht="13.8" x14ac:dyDescent="0.25">
      <c r="A473" s="34"/>
      <c r="B473" s="58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59"/>
      <c r="N473" s="59"/>
      <c r="O473" s="32"/>
      <c r="P473" s="85"/>
      <c r="Q473" s="126"/>
      <c r="R473" s="126"/>
      <c r="S473" s="126"/>
      <c r="T473" s="85"/>
      <c r="U473" s="85"/>
      <c r="V473" s="85"/>
      <c r="W473" s="85"/>
    </row>
    <row r="474" spans="1:23" s="33" customFormat="1" ht="13.8" x14ac:dyDescent="0.25">
      <c r="A474" s="34"/>
      <c r="B474" s="164" t="s">
        <v>511</v>
      </c>
      <c r="C474" s="40"/>
      <c r="D474" s="40"/>
      <c r="E474" s="40"/>
      <c r="F474" s="40"/>
      <c r="G474" s="40"/>
      <c r="H474" s="40"/>
      <c r="I474" s="40"/>
      <c r="J474" s="40"/>
      <c r="K474" s="172">
        <f>+SUM(K476:K500)</f>
        <v>9.7620000000000005</v>
      </c>
      <c r="L474" s="40"/>
      <c r="M474" s="59"/>
      <c r="N474" s="59"/>
      <c r="O474" s="32"/>
      <c r="P474" s="85"/>
      <c r="Q474" s="126"/>
      <c r="R474" s="126"/>
      <c r="S474" s="126"/>
      <c r="T474" s="85"/>
      <c r="U474" s="85"/>
      <c r="V474" s="85"/>
      <c r="W474" s="85"/>
    </row>
    <row r="475" spans="1:23" s="33" customFormat="1" ht="13.8" x14ac:dyDescent="0.25">
      <c r="A475" s="34"/>
      <c r="C475" s="40"/>
      <c r="D475" s="40"/>
      <c r="E475" s="40"/>
      <c r="F475" s="40"/>
      <c r="G475" s="40"/>
      <c r="H475" s="40"/>
      <c r="I475" s="40"/>
      <c r="J475" s="40"/>
      <c r="K475" s="59"/>
      <c r="L475" s="40"/>
      <c r="M475" s="59"/>
      <c r="N475" s="59"/>
      <c r="O475" s="32"/>
      <c r="P475" s="85"/>
      <c r="Q475" s="126"/>
      <c r="R475" s="126"/>
      <c r="S475" s="126"/>
      <c r="T475" s="85"/>
      <c r="U475" s="85"/>
      <c r="V475" s="85"/>
      <c r="W475" s="85"/>
    </row>
    <row r="476" spans="1:23" s="33" customFormat="1" ht="13.8" x14ac:dyDescent="0.25">
      <c r="A476" s="34"/>
      <c r="B476" s="58" t="s">
        <v>106</v>
      </c>
      <c r="C476" s="40">
        <v>6</v>
      </c>
      <c r="D476" s="40">
        <v>1.3</v>
      </c>
      <c r="E476" s="40">
        <v>0.2</v>
      </c>
      <c r="F476" s="40">
        <v>0.2</v>
      </c>
      <c r="G476" s="40"/>
      <c r="H476" s="40"/>
      <c r="I476" s="40">
        <f t="shared" ref="I476" si="89">+F476*E476*D476</f>
        <v>5.2000000000000011E-2</v>
      </c>
      <c r="J476" s="40">
        <f t="shared" ref="J476:J500" si="90">+I476</f>
        <v>5.2000000000000011E-2</v>
      </c>
      <c r="K476" s="40">
        <f t="shared" ref="K476" si="91">+J476*C476</f>
        <v>0.31200000000000006</v>
      </c>
      <c r="L476" s="40"/>
      <c r="M476" s="59"/>
      <c r="N476" s="59"/>
      <c r="O476" s="32"/>
      <c r="P476" s="85"/>
      <c r="Q476" s="126"/>
      <c r="R476" s="126"/>
      <c r="S476" s="126"/>
      <c r="T476" s="85"/>
      <c r="U476" s="85"/>
      <c r="V476" s="85"/>
      <c r="W476" s="85"/>
    </row>
    <row r="477" spans="1:23" s="33" customFormat="1" ht="13.8" x14ac:dyDescent="0.25">
      <c r="A477" s="34"/>
      <c r="B477" s="58"/>
      <c r="C477" s="40">
        <v>1</v>
      </c>
      <c r="D477" s="40">
        <v>6.9</v>
      </c>
      <c r="E477" s="40">
        <v>0.2</v>
      </c>
      <c r="F477" s="40">
        <v>0.3</v>
      </c>
      <c r="G477" s="40"/>
      <c r="H477" s="40"/>
      <c r="I477" s="40">
        <f t="shared" ref="I477" si="92">+F477*E477*D477</f>
        <v>0.41399999999999998</v>
      </c>
      <c r="J477" s="40">
        <f t="shared" si="90"/>
        <v>0.41399999999999998</v>
      </c>
      <c r="K477" s="40">
        <f t="shared" ref="K477" si="93">+J477*C477</f>
        <v>0.41399999999999998</v>
      </c>
      <c r="L477" s="40"/>
      <c r="M477" s="59"/>
      <c r="N477" s="59"/>
      <c r="O477" s="32"/>
      <c r="P477" s="85"/>
      <c r="Q477" s="126"/>
      <c r="R477" s="126"/>
      <c r="S477" s="126"/>
      <c r="T477" s="85"/>
      <c r="U477" s="85"/>
      <c r="V477" s="85"/>
      <c r="W477" s="85"/>
    </row>
    <row r="478" spans="1:23" s="33" customFormat="1" ht="13.8" x14ac:dyDescent="0.25">
      <c r="A478" s="34"/>
      <c r="B478" s="58"/>
      <c r="C478" s="40">
        <v>1</v>
      </c>
      <c r="D478" s="40">
        <v>2.75</v>
      </c>
      <c r="E478" s="40">
        <v>0.2</v>
      </c>
      <c r="F478" s="40">
        <v>0.3</v>
      </c>
      <c r="G478" s="40"/>
      <c r="H478" s="40"/>
      <c r="I478" s="40">
        <f t="shared" ref="I478" si="94">+F478*E478*D478</f>
        <v>0.16499999999999998</v>
      </c>
      <c r="J478" s="40">
        <f t="shared" si="90"/>
        <v>0.16499999999999998</v>
      </c>
      <c r="K478" s="40">
        <f t="shared" ref="K478" si="95">+J478*C478</f>
        <v>0.16499999999999998</v>
      </c>
      <c r="L478" s="40"/>
      <c r="M478" s="59"/>
      <c r="N478" s="59"/>
      <c r="O478" s="32"/>
      <c r="P478" s="85"/>
      <c r="Q478" s="126"/>
      <c r="R478" s="126"/>
      <c r="S478" s="126"/>
      <c r="T478" s="85"/>
      <c r="U478" s="85"/>
      <c r="V478" s="85"/>
      <c r="W478" s="85"/>
    </row>
    <row r="479" spans="1:23" s="33" customFormat="1" ht="13.8" x14ac:dyDescent="0.25">
      <c r="A479" s="34"/>
      <c r="B479" s="58"/>
      <c r="C479" s="40">
        <v>1</v>
      </c>
      <c r="D479" s="40">
        <v>3.5</v>
      </c>
      <c r="E479" s="40">
        <v>0.2</v>
      </c>
      <c r="F479" s="40">
        <v>0.3</v>
      </c>
      <c r="G479" s="40"/>
      <c r="H479" s="40"/>
      <c r="I479" s="40">
        <f t="shared" ref="I479:I482" si="96">+F479*E479*D479</f>
        <v>0.21</v>
      </c>
      <c r="J479" s="40">
        <f t="shared" si="90"/>
        <v>0.21</v>
      </c>
      <c r="K479" s="40">
        <f t="shared" ref="K479:K482" si="97">+J479*C479</f>
        <v>0.21</v>
      </c>
      <c r="L479" s="40"/>
      <c r="M479" s="59"/>
      <c r="N479" s="59"/>
      <c r="O479" s="32"/>
      <c r="P479" s="85"/>
      <c r="Q479" s="126"/>
      <c r="R479" s="126"/>
      <c r="S479" s="126"/>
      <c r="T479" s="85"/>
      <c r="U479" s="85"/>
      <c r="V479" s="85"/>
      <c r="W479" s="85"/>
    </row>
    <row r="480" spans="1:23" s="33" customFormat="1" ht="13.8" x14ac:dyDescent="0.25">
      <c r="A480" s="34"/>
      <c r="B480" s="58" t="s">
        <v>107</v>
      </c>
      <c r="C480" s="40">
        <v>6</v>
      </c>
      <c r="D480" s="40">
        <v>1.3</v>
      </c>
      <c r="E480" s="40">
        <v>0.2</v>
      </c>
      <c r="F480" s="40">
        <v>0.2</v>
      </c>
      <c r="G480" s="40"/>
      <c r="H480" s="40"/>
      <c r="I480" s="40">
        <f t="shared" si="96"/>
        <v>5.2000000000000011E-2</v>
      </c>
      <c r="J480" s="40">
        <f t="shared" si="90"/>
        <v>5.2000000000000011E-2</v>
      </c>
      <c r="K480" s="40">
        <f t="shared" si="97"/>
        <v>0.31200000000000006</v>
      </c>
      <c r="L480" s="40"/>
      <c r="M480" s="59"/>
      <c r="N480" s="59"/>
      <c r="O480" s="32"/>
      <c r="P480" s="85"/>
      <c r="Q480" s="126"/>
      <c r="R480" s="126"/>
      <c r="S480" s="126"/>
      <c r="T480" s="85"/>
      <c r="U480" s="85"/>
      <c r="V480" s="85"/>
      <c r="W480" s="85"/>
    </row>
    <row r="481" spans="1:23" s="33" customFormat="1" ht="13.8" x14ac:dyDescent="0.25">
      <c r="A481" s="34"/>
      <c r="B481" s="58"/>
      <c r="C481" s="40">
        <v>1</v>
      </c>
      <c r="D481" s="40">
        <v>9.3000000000000007</v>
      </c>
      <c r="E481" s="40">
        <v>0.2</v>
      </c>
      <c r="F481" s="40">
        <v>0.3</v>
      </c>
      <c r="G481" s="40"/>
      <c r="H481" s="40"/>
      <c r="I481" s="40">
        <f t="shared" si="96"/>
        <v>0.55800000000000005</v>
      </c>
      <c r="J481" s="40">
        <f t="shared" si="90"/>
        <v>0.55800000000000005</v>
      </c>
      <c r="K481" s="40">
        <f t="shared" si="97"/>
        <v>0.55800000000000005</v>
      </c>
      <c r="L481" s="40"/>
      <c r="M481" s="59"/>
      <c r="N481" s="59"/>
      <c r="O481" s="32"/>
      <c r="P481" s="85"/>
      <c r="Q481" s="126"/>
      <c r="R481" s="126"/>
      <c r="S481" s="126"/>
      <c r="T481" s="85"/>
      <c r="U481" s="85"/>
      <c r="V481" s="85"/>
      <c r="W481" s="85"/>
    </row>
    <row r="482" spans="1:23" s="33" customFormat="1" ht="13.8" x14ac:dyDescent="0.25">
      <c r="A482" s="34"/>
      <c r="B482" s="58"/>
      <c r="C482" s="40">
        <v>1</v>
      </c>
      <c r="D482" s="40">
        <v>2.85</v>
      </c>
      <c r="E482" s="40">
        <v>0.2</v>
      </c>
      <c r="F482" s="40">
        <v>0.3</v>
      </c>
      <c r="G482" s="40"/>
      <c r="H482" s="40"/>
      <c r="I482" s="40">
        <f t="shared" si="96"/>
        <v>0.17099999999999999</v>
      </c>
      <c r="J482" s="40">
        <f t="shared" si="90"/>
        <v>0.17099999999999999</v>
      </c>
      <c r="K482" s="40">
        <f t="shared" si="97"/>
        <v>0.17099999999999999</v>
      </c>
      <c r="L482" s="40"/>
      <c r="M482" s="59"/>
      <c r="N482" s="59"/>
      <c r="O482" s="32"/>
      <c r="P482" s="85"/>
      <c r="Q482" s="126"/>
      <c r="R482" s="126"/>
      <c r="S482" s="126"/>
      <c r="T482" s="85"/>
      <c r="U482" s="85"/>
      <c r="V482" s="85"/>
      <c r="W482" s="85"/>
    </row>
    <row r="483" spans="1:23" s="33" customFormat="1" ht="13.8" x14ac:dyDescent="0.25">
      <c r="A483" s="34"/>
      <c r="B483" s="58"/>
      <c r="C483" s="40">
        <v>2</v>
      </c>
      <c r="D483" s="40">
        <v>5</v>
      </c>
      <c r="E483" s="40">
        <v>0.2</v>
      </c>
      <c r="F483" s="40">
        <v>0.3</v>
      </c>
      <c r="G483" s="40"/>
      <c r="H483" s="40"/>
      <c r="I483" s="40">
        <f t="shared" ref="I483" si="98">+F483*E483*D483</f>
        <v>0.3</v>
      </c>
      <c r="J483" s="40">
        <f t="shared" si="90"/>
        <v>0.3</v>
      </c>
      <c r="K483" s="40">
        <f t="shared" ref="K483" si="99">+J483*C483</f>
        <v>0.6</v>
      </c>
      <c r="L483" s="40"/>
      <c r="M483" s="59"/>
      <c r="N483" s="59"/>
      <c r="O483" s="32"/>
      <c r="P483" s="85"/>
      <c r="Q483" s="126"/>
      <c r="R483" s="126"/>
      <c r="S483" s="126"/>
      <c r="T483" s="85"/>
      <c r="U483" s="85"/>
      <c r="V483" s="85"/>
      <c r="W483" s="85"/>
    </row>
    <row r="484" spans="1:23" s="33" customFormat="1" ht="13.8" x14ac:dyDescent="0.25">
      <c r="A484" s="34"/>
      <c r="B484" s="58"/>
      <c r="C484" s="40">
        <v>2</v>
      </c>
      <c r="D484" s="40">
        <v>0.8</v>
      </c>
      <c r="E484" s="40">
        <v>0.2</v>
      </c>
      <c r="F484" s="40">
        <v>0.2</v>
      </c>
      <c r="G484" s="40"/>
      <c r="H484" s="40"/>
      <c r="I484" s="40">
        <f t="shared" ref="I484" si="100">+F484*E484*D484</f>
        <v>3.2000000000000008E-2</v>
      </c>
      <c r="J484" s="40">
        <f t="shared" si="90"/>
        <v>3.2000000000000008E-2</v>
      </c>
      <c r="K484" s="40">
        <f t="shared" ref="K484" si="101">+J484*C484</f>
        <v>6.4000000000000015E-2</v>
      </c>
      <c r="L484" s="40"/>
      <c r="M484" s="59"/>
      <c r="N484" s="59"/>
      <c r="O484" s="32"/>
      <c r="P484" s="85"/>
      <c r="Q484" s="126"/>
      <c r="R484" s="126"/>
      <c r="S484" s="126"/>
      <c r="T484" s="85"/>
      <c r="U484" s="85"/>
      <c r="V484" s="85"/>
      <c r="W484" s="85"/>
    </row>
    <row r="485" spans="1:23" s="33" customFormat="1" ht="13.8" x14ac:dyDescent="0.25">
      <c r="A485" s="34"/>
      <c r="B485" s="58"/>
      <c r="C485" s="40">
        <v>1</v>
      </c>
      <c r="D485" s="40">
        <v>7.4</v>
      </c>
      <c r="E485" s="40">
        <v>0.2</v>
      </c>
      <c r="F485" s="40">
        <v>0.3</v>
      </c>
      <c r="G485" s="40"/>
      <c r="H485" s="40"/>
      <c r="I485" s="40">
        <f t="shared" ref="I485" si="102">+F485*E485*D485</f>
        <v>0.44400000000000001</v>
      </c>
      <c r="J485" s="40">
        <f t="shared" si="90"/>
        <v>0.44400000000000001</v>
      </c>
      <c r="K485" s="40">
        <f t="shared" ref="K485" si="103">+J485*C485</f>
        <v>0.44400000000000001</v>
      </c>
      <c r="L485" s="40"/>
      <c r="M485" s="59"/>
      <c r="N485" s="59"/>
      <c r="O485" s="32"/>
      <c r="P485" s="85"/>
      <c r="Q485" s="126"/>
      <c r="R485" s="126"/>
      <c r="S485" s="126"/>
      <c r="T485" s="85"/>
      <c r="U485" s="85"/>
      <c r="V485" s="85"/>
      <c r="W485" s="85"/>
    </row>
    <row r="486" spans="1:23" s="33" customFormat="1" ht="13.8" x14ac:dyDescent="0.25">
      <c r="A486" s="34"/>
      <c r="B486" s="58"/>
      <c r="C486" s="40">
        <v>1</v>
      </c>
      <c r="D486" s="40">
        <v>3.4</v>
      </c>
      <c r="E486" s="40">
        <v>0.2</v>
      </c>
      <c r="F486" s="40">
        <v>0.3</v>
      </c>
      <c r="G486" s="40"/>
      <c r="H486" s="40"/>
      <c r="I486" s="40">
        <f t="shared" ref="I486:I492" si="104">+F486*E486*D486</f>
        <v>0.20399999999999999</v>
      </c>
      <c r="J486" s="40">
        <f t="shared" si="90"/>
        <v>0.20399999999999999</v>
      </c>
      <c r="K486" s="40">
        <f t="shared" ref="K486:K492" si="105">+J486*C486</f>
        <v>0.20399999999999999</v>
      </c>
      <c r="L486" s="40"/>
      <c r="M486" s="59"/>
      <c r="N486" s="59"/>
      <c r="O486" s="32"/>
      <c r="P486" s="85"/>
      <c r="Q486" s="126"/>
      <c r="R486" s="126"/>
      <c r="S486" s="126"/>
      <c r="T486" s="85"/>
      <c r="U486" s="85"/>
      <c r="V486" s="85"/>
      <c r="W486" s="85"/>
    </row>
    <row r="487" spans="1:23" s="33" customFormat="1" ht="13.8" x14ac:dyDescent="0.25">
      <c r="A487" s="34"/>
      <c r="B487" s="58" t="s">
        <v>204</v>
      </c>
      <c r="C487" s="40">
        <v>5</v>
      </c>
      <c r="D487" s="40">
        <v>1.3</v>
      </c>
      <c r="E487" s="40">
        <v>0.2</v>
      </c>
      <c r="F487" s="40">
        <v>0.2</v>
      </c>
      <c r="G487" s="40"/>
      <c r="H487" s="40"/>
      <c r="I487" s="40">
        <f t="shared" si="104"/>
        <v>5.2000000000000011E-2</v>
      </c>
      <c r="J487" s="40">
        <f t="shared" si="90"/>
        <v>5.2000000000000011E-2</v>
      </c>
      <c r="K487" s="40">
        <f t="shared" si="105"/>
        <v>0.26000000000000006</v>
      </c>
      <c r="L487" s="40"/>
      <c r="M487" s="59"/>
      <c r="N487" s="59"/>
      <c r="O487" s="32"/>
      <c r="P487" s="85"/>
      <c r="Q487" s="126"/>
      <c r="R487" s="126"/>
      <c r="S487" s="126"/>
      <c r="T487" s="85"/>
      <c r="U487" s="85"/>
      <c r="V487" s="85"/>
      <c r="W487" s="85"/>
    </row>
    <row r="488" spans="1:23" s="33" customFormat="1" ht="13.8" x14ac:dyDescent="0.25">
      <c r="A488" s="34"/>
      <c r="B488" s="58"/>
      <c r="C488" s="40">
        <v>1</v>
      </c>
      <c r="D488" s="40">
        <v>9.3000000000000007</v>
      </c>
      <c r="E488" s="40">
        <v>0.2</v>
      </c>
      <c r="F488" s="40">
        <v>0.3</v>
      </c>
      <c r="G488" s="40"/>
      <c r="H488" s="40"/>
      <c r="I488" s="40">
        <f t="shared" si="104"/>
        <v>0.55800000000000005</v>
      </c>
      <c r="J488" s="40">
        <f t="shared" si="90"/>
        <v>0.55800000000000005</v>
      </c>
      <c r="K488" s="40">
        <f t="shared" si="105"/>
        <v>0.55800000000000005</v>
      </c>
      <c r="L488" s="40"/>
      <c r="M488" s="59"/>
      <c r="N488" s="59"/>
      <c r="O488" s="32"/>
      <c r="P488" s="85"/>
      <c r="Q488" s="126"/>
      <c r="R488" s="126"/>
      <c r="S488" s="126"/>
      <c r="T488" s="85"/>
      <c r="U488" s="85"/>
      <c r="V488" s="85"/>
      <c r="W488" s="85"/>
    </row>
    <row r="489" spans="1:23" s="33" customFormat="1" ht="13.8" x14ac:dyDescent="0.25">
      <c r="A489" s="34"/>
      <c r="B489" s="58"/>
      <c r="C489" s="40">
        <v>2</v>
      </c>
      <c r="D489" s="40">
        <v>2.6</v>
      </c>
      <c r="E489" s="40">
        <v>0.2</v>
      </c>
      <c r="F489" s="40">
        <v>0.3</v>
      </c>
      <c r="G489" s="40"/>
      <c r="H489" s="40"/>
      <c r="I489" s="40">
        <f t="shared" si="104"/>
        <v>0.156</v>
      </c>
      <c r="J489" s="40">
        <f t="shared" si="90"/>
        <v>0.156</v>
      </c>
      <c r="K489" s="40">
        <f t="shared" si="105"/>
        <v>0.312</v>
      </c>
      <c r="L489" s="40"/>
      <c r="M489" s="59"/>
      <c r="N489" s="59"/>
      <c r="O489" s="32"/>
      <c r="P489" s="85"/>
      <c r="Q489" s="126"/>
      <c r="R489" s="126"/>
      <c r="S489" s="126"/>
      <c r="T489" s="85"/>
      <c r="U489" s="85"/>
      <c r="V489" s="85"/>
      <c r="W489" s="85"/>
    </row>
    <row r="490" spans="1:23" s="33" customFormat="1" ht="13.8" x14ac:dyDescent="0.25">
      <c r="A490" s="34"/>
      <c r="B490" s="58"/>
      <c r="C490" s="40">
        <v>2</v>
      </c>
      <c r="D490" s="40">
        <v>5</v>
      </c>
      <c r="E490" s="40">
        <v>0.2</v>
      </c>
      <c r="F490" s="40">
        <v>0.3</v>
      </c>
      <c r="G490" s="40"/>
      <c r="H490" s="40"/>
      <c r="I490" s="40">
        <f t="shared" si="104"/>
        <v>0.3</v>
      </c>
      <c r="J490" s="40">
        <f t="shared" si="90"/>
        <v>0.3</v>
      </c>
      <c r="K490" s="40">
        <f t="shared" si="105"/>
        <v>0.6</v>
      </c>
      <c r="L490" s="40"/>
      <c r="M490" s="59"/>
      <c r="N490" s="59"/>
      <c r="O490" s="32"/>
      <c r="P490" s="85"/>
      <c r="Q490" s="126"/>
      <c r="R490" s="126"/>
      <c r="S490" s="126"/>
      <c r="T490" s="85"/>
      <c r="U490" s="85"/>
      <c r="V490" s="85"/>
      <c r="W490" s="85"/>
    </row>
    <row r="491" spans="1:23" s="33" customFormat="1" ht="13.8" x14ac:dyDescent="0.25">
      <c r="A491" s="34"/>
      <c r="B491" s="58"/>
      <c r="C491" s="40">
        <v>4</v>
      </c>
      <c r="D491" s="40">
        <v>0.8</v>
      </c>
      <c r="E491" s="40">
        <v>0.2</v>
      </c>
      <c r="F491" s="40">
        <v>0.2</v>
      </c>
      <c r="G491" s="40"/>
      <c r="H491" s="40"/>
      <c r="I491" s="40">
        <f t="shared" si="104"/>
        <v>3.2000000000000008E-2</v>
      </c>
      <c r="J491" s="40">
        <f t="shared" si="90"/>
        <v>3.2000000000000008E-2</v>
      </c>
      <c r="K491" s="40">
        <f t="shared" si="105"/>
        <v>0.12800000000000003</v>
      </c>
      <c r="L491" s="40"/>
      <c r="M491" s="59"/>
      <c r="N491" s="59"/>
      <c r="O491" s="32"/>
      <c r="P491" s="85"/>
      <c r="Q491" s="126"/>
      <c r="R491" s="126"/>
      <c r="S491" s="126"/>
      <c r="T491" s="85"/>
      <c r="U491" s="85"/>
      <c r="V491" s="85"/>
      <c r="W491" s="85"/>
    </row>
    <row r="492" spans="1:23" s="33" customFormat="1" ht="13.8" x14ac:dyDescent="0.25">
      <c r="A492" s="34"/>
      <c r="B492" s="58"/>
      <c r="C492" s="40">
        <v>2</v>
      </c>
      <c r="D492" s="40">
        <v>7.4</v>
      </c>
      <c r="E492" s="40">
        <v>0.2</v>
      </c>
      <c r="F492" s="40">
        <v>0.3</v>
      </c>
      <c r="G492" s="40"/>
      <c r="H492" s="40"/>
      <c r="I492" s="40">
        <f t="shared" si="104"/>
        <v>0.44400000000000001</v>
      </c>
      <c r="J492" s="40">
        <f t="shared" si="90"/>
        <v>0.44400000000000001</v>
      </c>
      <c r="K492" s="40">
        <f t="shared" si="105"/>
        <v>0.88800000000000001</v>
      </c>
      <c r="L492" s="40"/>
      <c r="M492" s="59"/>
      <c r="N492" s="59"/>
      <c r="O492" s="32"/>
      <c r="P492" s="85"/>
      <c r="Q492" s="126"/>
      <c r="R492" s="126"/>
      <c r="S492" s="126"/>
      <c r="T492" s="85"/>
      <c r="U492" s="85"/>
      <c r="V492" s="85"/>
      <c r="W492" s="85"/>
    </row>
    <row r="493" spans="1:23" s="33" customFormat="1" ht="13.8" x14ac:dyDescent="0.25">
      <c r="A493" s="34"/>
      <c r="B493" s="58"/>
      <c r="C493" s="40">
        <v>2</v>
      </c>
      <c r="D493" s="40">
        <v>3.4</v>
      </c>
      <c r="E493" s="40">
        <v>0.2</v>
      </c>
      <c r="F493" s="40">
        <v>0.3</v>
      </c>
      <c r="G493" s="40"/>
      <c r="H493" s="40"/>
      <c r="I493" s="40">
        <f t="shared" ref="I493:I499" si="106">+F493*E493*D493</f>
        <v>0.20399999999999999</v>
      </c>
      <c r="J493" s="40">
        <f t="shared" si="90"/>
        <v>0.20399999999999999</v>
      </c>
      <c r="K493" s="40">
        <f t="shared" ref="K493:K499" si="107">+J493*C493</f>
        <v>0.40799999999999997</v>
      </c>
      <c r="L493" s="40"/>
      <c r="M493" s="59"/>
      <c r="N493" s="59"/>
      <c r="O493" s="32"/>
      <c r="P493" s="85"/>
      <c r="Q493" s="126"/>
      <c r="R493" s="126"/>
      <c r="S493" s="126"/>
      <c r="T493" s="85"/>
      <c r="U493" s="85"/>
      <c r="V493" s="85"/>
      <c r="W493" s="85"/>
    </row>
    <row r="494" spans="1:23" s="33" customFormat="1" ht="13.8" x14ac:dyDescent="0.25">
      <c r="A494" s="34"/>
      <c r="B494" s="58" t="s">
        <v>205</v>
      </c>
      <c r="C494" s="40">
        <v>5</v>
      </c>
      <c r="D494" s="40">
        <v>1.3</v>
      </c>
      <c r="E494" s="40">
        <v>0.2</v>
      </c>
      <c r="F494" s="40">
        <v>0.2</v>
      </c>
      <c r="G494" s="40"/>
      <c r="H494" s="40"/>
      <c r="I494" s="40">
        <f t="shared" si="106"/>
        <v>5.2000000000000011E-2</v>
      </c>
      <c r="J494" s="40">
        <f t="shared" si="90"/>
        <v>5.2000000000000011E-2</v>
      </c>
      <c r="K494" s="40">
        <f t="shared" si="107"/>
        <v>0.26000000000000006</v>
      </c>
      <c r="L494" s="40"/>
      <c r="M494" s="59"/>
      <c r="N494" s="59"/>
      <c r="O494" s="32"/>
      <c r="P494" s="85"/>
      <c r="Q494" s="126"/>
      <c r="R494" s="126"/>
      <c r="S494" s="126"/>
      <c r="T494" s="85"/>
      <c r="U494" s="85"/>
      <c r="V494" s="85"/>
      <c r="W494" s="85"/>
    </row>
    <row r="495" spans="1:23" s="33" customFormat="1" ht="13.8" x14ac:dyDescent="0.25">
      <c r="A495" s="34"/>
      <c r="B495" s="58"/>
      <c r="C495" s="40">
        <v>1</v>
      </c>
      <c r="D495" s="40">
        <v>9.3000000000000007</v>
      </c>
      <c r="E495" s="40">
        <v>0.2</v>
      </c>
      <c r="F495" s="40">
        <v>0.3</v>
      </c>
      <c r="G495" s="40"/>
      <c r="H495" s="40"/>
      <c r="I495" s="40">
        <f t="shared" si="106"/>
        <v>0.55800000000000005</v>
      </c>
      <c r="J495" s="40">
        <f t="shared" si="90"/>
        <v>0.55800000000000005</v>
      </c>
      <c r="K495" s="40">
        <f t="shared" si="107"/>
        <v>0.55800000000000005</v>
      </c>
      <c r="L495" s="40"/>
      <c r="M495" s="59"/>
      <c r="N495" s="59"/>
      <c r="O495" s="32"/>
      <c r="P495" s="85"/>
      <c r="Q495" s="126"/>
      <c r="R495" s="126"/>
      <c r="S495" s="126"/>
      <c r="T495" s="85"/>
      <c r="U495" s="85"/>
      <c r="V495" s="85"/>
      <c r="W495" s="85"/>
    </row>
    <row r="496" spans="1:23" s="33" customFormat="1" ht="13.8" x14ac:dyDescent="0.25">
      <c r="A496" s="34"/>
      <c r="B496" s="58"/>
      <c r="C496" s="40">
        <v>2</v>
      </c>
      <c r="D496" s="40">
        <v>2.6</v>
      </c>
      <c r="E496" s="40">
        <v>0.2</v>
      </c>
      <c r="F496" s="40">
        <v>0.3</v>
      </c>
      <c r="G496" s="40"/>
      <c r="H496" s="40"/>
      <c r="I496" s="40">
        <f t="shared" si="106"/>
        <v>0.156</v>
      </c>
      <c r="J496" s="40">
        <f t="shared" si="90"/>
        <v>0.156</v>
      </c>
      <c r="K496" s="40">
        <f t="shared" si="107"/>
        <v>0.312</v>
      </c>
      <c r="L496" s="40"/>
      <c r="M496" s="59"/>
      <c r="N496" s="59"/>
      <c r="O496" s="32"/>
      <c r="P496" s="85"/>
      <c r="Q496" s="126"/>
      <c r="R496" s="126"/>
      <c r="S496" s="126"/>
      <c r="T496" s="85"/>
      <c r="U496" s="85"/>
      <c r="V496" s="85"/>
      <c r="W496" s="85"/>
    </row>
    <row r="497" spans="1:23" s="33" customFormat="1" ht="13.8" x14ac:dyDescent="0.25">
      <c r="A497" s="34"/>
      <c r="B497" s="58"/>
      <c r="C497" s="40">
        <v>2</v>
      </c>
      <c r="D497" s="40">
        <v>5</v>
      </c>
      <c r="E497" s="40">
        <v>0.2</v>
      </c>
      <c r="F497" s="40">
        <v>0.3</v>
      </c>
      <c r="G497" s="40"/>
      <c r="H497" s="40"/>
      <c r="I497" s="40">
        <f t="shared" si="106"/>
        <v>0.3</v>
      </c>
      <c r="J497" s="40">
        <f t="shared" si="90"/>
        <v>0.3</v>
      </c>
      <c r="K497" s="40">
        <f t="shared" si="107"/>
        <v>0.6</v>
      </c>
      <c r="L497" s="40"/>
      <c r="M497" s="59"/>
      <c r="N497" s="59"/>
      <c r="O497" s="32"/>
      <c r="P497" s="85"/>
      <c r="Q497" s="126"/>
      <c r="R497" s="126"/>
      <c r="S497" s="126"/>
      <c r="T497" s="85"/>
      <c r="U497" s="85"/>
      <c r="V497" s="85"/>
      <c r="W497" s="85"/>
    </row>
    <row r="498" spans="1:23" s="33" customFormat="1" ht="13.8" x14ac:dyDescent="0.25">
      <c r="A498" s="34"/>
      <c r="B498" s="58"/>
      <c r="C498" s="40">
        <v>4</v>
      </c>
      <c r="D498" s="40">
        <v>0.8</v>
      </c>
      <c r="E498" s="40">
        <v>0.2</v>
      </c>
      <c r="F498" s="40">
        <v>0.2</v>
      </c>
      <c r="G498" s="40"/>
      <c r="H498" s="40"/>
      <c r="I498" s="40">
        <f t="shared" si="106"/>
        <v>3.2000000000000008E-2</v>
      </c>
      <c r="J498" s="40">
        <f t="shared" si="90"/>
        <v>3.2000000000000008E-2</v>
      </c>
      <c r="K498" s="40">
        <f t="shared" si="107"/>
        <v>0.12800000000000003</v>
      </c>
      <c r="L498" s="40"/>
      <c r="M498" s="59"/>
      <c r="N498" s="59"/>
      <c r="O498" s="32"/>
      <c r="P498" s="85"/>
      <c r="Q498" s="126"/>
      <c r="R498" s="126"/>
      <c r="S498" s="126"/>
      <c r="T498" s="85"/>
      <c r="U498" s="85"/>
      <c r="V498" s="85"/>
      <c r="W498" s="85"/>
    </row>
    <row r="499" spans="1:23" s="33" customFormat="1" ht="13.8" x14ac:dyDescent="0.25">
      <c r="A499" s="34"/>
      <c r="B499" s="58"/>
      <c r="C499" s="40">
        <v>2</v>
      </c>
      <c r="D499" s="40">
        <v>7.4</v>
      </c>
      <c r="E499" s="40">
        <v>0.2</v>
      </c>
      <c r="F499" s="40">
        <v>0.3</v>
      </c>
      <c r="G499" s="40"/>
      <c r="H499" s="40"/>
      <c r="I499" s="40">
        <f t="shared" si="106"/>
        <v>0.44400000000000001</v>
      </c>
      <c r="J499" s="40">
        <f t="shared" si="90"/>
        <v>0.44400000000000001</v>
      </c>
      <c r="K499" s="40">
        <f t="shared" si="107"/>
        <v>0.88800000000000001</v>
      </c>
      <c r="L499" s="40"/>
      <c r="M499" s="59"/>
      <c r="N499" s="59"/>
      <c r="O499" s="32"/>
      <c r="P499" s="85"/>
      <c r="Q499" s="126"/>
      <c r="R499" s="126"/>
      <c r="S499" s="126"/>
      <c r="T499" s="85"/>
      <c r="U499" s="85"/>
      <c r="V499" s="85"/>
      <c r="W499" s="85"/>
    </row>
    <row r="500" spans="1:23" s="33" customFormat="1" ht="13.8" x14ac:dyDescent="0.25">
      <c r="A500" s="34"/>
      <c r="B500" s="58"/>
      <c r="C500" s="40">
        <v>2</v>
      </c>
      <c r="D500" s="40">
        <v>3.4</v>
      </c>
      <c r="E500" s="40">
        <v>0.2</v>
      </c>
      <c r="F500" s="40">
        <v>0.3</v>
      </c>
      <c r="G500" s="40"/>
      <c r="H500" s="40"/>
      <c r="I500" s="40">
        <f t="shared" ref="I500" si="108">+F500*E500*D500</f>
        <v>0.20399999999999999</v>
      </c>
      <c r="J500" s="40">
        <f t="shared" si="90"/>
        <v>0.20399999999999999</v>
      </c>
      <c r="K500" s="40">
        <f t="shared" ref="K500" si="109">+J500*C500</f>
        <v>0.40799999999999997</v>
      </c>
      <c r="L500" s="40"/>
      <c r="M500" s="59"/>
      <c r="N500" s="59"/>
      <c r="O500" s="32"/>
      <c r="P500" s="85"/>
      <c r="Q500" s="126"/>
      <c r="R500" s="126"/>
      <c r="S500" s="126"/>
      <c r="T500" s="85"/>
      <c r="U500" s="85"/>
      <c r="V500" s="85"/>
      <c r="W500" s="85"/>
    </row>
    <row r="501" spans="1:23" s="33" customFormat="1" ht="13.8" x14ac:dyDescent="0.25">
      <c r="A501" s="34"/>
      <c r="B501" s="58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59"/>
      <c r="N501" s="59"/>
      <c r="O501" s="32"/>
      <c r="P501" s="85"/>
      <c r="Q501" s="126"/>
      <c r="R501" s="126"/>
      <c r="S501" s="126"/>
      <c r="T501" s="85"/>
      <c r="U501" s="85"/>
      <c r="V501" s="85"/>
      <c r="W501" s="85"/>
    </row>
    <row r="502" spans="1:23" s="33" customFormat="1" ht="13.8" x14ac:dyDescent="0.25">
      <c r="A502" s="34"/>
      <c r="B502" s="164" t="s">
        <v>363</v>
      </c>
      <c r="C502" s="40"/>
      <c r="D502" s="40"/>
      <c r="E502" s="40"/>
      <c r="F502" s="40"/>
      <c r="G502" s="40"/>
      <c r="H502" s="40"/>
      <c r="I502" s="40"/>
      <c r="J502" s="40"/>
      <c r="K502" s="172">
        <f>+SUM(K504:K506)</f>
        <v>1.5699999999999998</v>
      </c>
      <c r="L502" s="40"/>
      <c r="M502" s="59"/>
      <c r="N502" s="59"/>
      <c r="O502" s="32"/>
      <c r="P502" s="85"/>
      <c r="Q502" s="126"/>
      <c r="R502" s="126"/>
      <c r="S502" s="126"/>
      <c r="T502" s="85"/>
      <c r="U502" s="85"/>
      <c r="V502" s="85"/>
      <c r="W502" s="85"/>
    </row>
    <row r="503" spans="1:23" s="33" customFormat="1" ht="13.8" x14ac:dyDescent="0.25">
      <c r="A503" s="34"/>
      <c r="B503" s="214" t="s">
        <v>205</v>
      </c>
      <c r="C503" s="40"/>
      <c r="D503" s="40"/>
      <c r="E503" s="40"/>
      <c r="F503" s="40"/>
      <c r="G503" s="40"/>
      <c r="H503" s="40"/>
      <c r="I503" s="40"/>
      <c r="J503" s="40"/>
      <c r="K503" s="59"/>
      <c r="L503" s="40"/>
      <c r="M503" s="59"/>
      <c r="N503" s="59"/>
      <c r="O503" s="32"/>
      <c r="P503" s="85"/>
      <c r="Q503" s="126"/>
      <c r="R503" s="126"/>
      <c r="S503" s="126"/>
      <c r="T503" s="85"/>
      <c r="U503" s="85"/>
      <c r="V503" s="85"/>
      <c r="W503" s="85"/>
    </row>
    <row r="504" spans="1:23" s="66" customFormat="1" ht="13.8" x14ac:dyDescent="0.25">
      <c r="A504" s="34"/>
      <c r="B504" s="39" t="s">
        <v>563</v>
      </c>
      <c r="C504" s="40">
        <v>1</v>
      </c>
      <c r="D504" s="40">
        <v>4.5</v>
      </c>
      <c r="E504" s="40">
        <v>0.1</v>
      </c>
      <c r="F504" s="40">
        <v>1</v>
      </c>
      <c r="G504" s="40"/>
      <c r="H504" s="157"/>
      <c r="I504" s="40">
        <f>+F504*E504*D504</f>
        <v>0.45</v>
      </c>
      <c r="J504" s="40">
        <f>+I504</f>
        <v>0.45</v>
      </c>
      <c r="K504" s="40">
        <f>+J504*C504</f>
        <v>0.45</v>
      </c>
      <c r="L504" s="40"/>
      <c r="M504" s="59"/>
      <c r="N504" s="98"/>
      <c r="O504" s="65"/>
      <c r="P504" s="87"/>
      <c r="Q504" s="128"/>
      <c r="R504" s="128"/>
      <c r="S504" s="128"/>
      <c r="T504" s="87"/>
      <c r="U504" s="87"/>
      <c r="V504" s="87"/>
      <c r="W504" s="87"/>
    </row>
    <row r="505" spans="1:23" s="66" customFormat="1" ht="13.8" x14ac:dyDescent="0.25">
      <c r="A505" s="34"/>
      <c r="B505" s="39" t="s">
        <v>562</v>
      </c>
      <c r="C505" s="40">
        <v>1</v>
      </c>
      <c r="D505" s="40">
        <v>4.5999999999999996</v>
      </c>
      <c r="E505" s="40">
        <v>0.1</v>
      </c>
      <c r="F505" s="40">
        <v>1</v>
      </c>
      <c r="G505" s="40"/>
      <c r="H505" s="157"/>
      <c r="I505" s="40">
        <f t="shared" ref="I505:I506" si="110">+F505*E505*D505</f>
        <v>0.45999999999999996</v>
      </c>
      <c r="J505" s="40">
        <f t="shared" ref="J505:J506" si="111">+I505</f>
        <v>0.45999999999999996</v>
      </c>
      <c r="K505" s="40">
        <f>+J505*C505</f>
        <v>0.45999999999999996</v>
      </c>
      <c r="L505" s="40"/>
      <c r="M505" s="59"/>
      <c r="N505" s="98"/>
      <c r="O505" s="65"/>
      <c r="P505" s="87"/>
      <c r="Q505" s="128"/>
      <c r="R505" s="128"/>
      <c r="S505" s="128"/>
      <c r="T505" s="87"/>
      <c r="U505" s="87"/>
      <c r="V505" s="87"/>
      <c r="W505" s="87"/>
    </row>
    <row r="506" spans="1:23" s="66" customFormat="1" ht="13.8" x14ac:dyDescent="0.25">
      <c r="A506" s="34"/>
      <c r="B506" s="39" t="s">
        <v>564</v>
      </c>
      <c r="C506" s="40">
        <v>1</v>
      </c>
      <c r="D506" s="40">
        <v>6.6</v>
      </c>
      <c r="E506" s="40">
        <v>0.1</v>
      </c>
      <c r="F506" s="40">
        <v>1</v>
      </c>
      <c r="G506" s="40"/>
      <c r="H506" s="157"/>
      <c r="I506" s="40">
        <f t="shared" si="110"/>
        <v>0.66</v>
      </c>
      <c r="J506" s="40">
        <f t="shared" si="111"/>
        <v>0.66</v>
      </c>
      <c r="K506" s="40">
        <f>+J506*C506</f>
        <v>0.66</v>
      </c>
      <c r="L506" s="40"/>
      <c r="M506" s="59"/>
      <c r="N506" s="98"/>
      <c r="O506" s="65"/>
      <c r="P506" s="87"/>
      <c r="Q506" s="128"/>
      <c r="R506" s="128"/>
      <c r="S506" s="128"/>
      <c r="T506" s="87"/>
      <c r="U506" s="87"/>
      <c r="V506" s="87"/>
      <c r="W506" s="87"/>
    </row>
    <row r="507" spans="1:23" s="33" customFormat="1" ht="13.8" x14ac:dyDescent="0.25">
      <c r="A507" s="34"/>
      <c r="B507" s="58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59"/>
      <c r="N507" s="59"/>
      <c r="O507" s="32"/>
      <c r="P507" s="85"/>
      <c r="Q507" s="126"/>
      <c r="R507" s="126"/>
      <c r="S507" s="126"/>
      <c r="T507" s="85"/>
      <c r="U507" s="85"/>
      <c r="V507" s="85"/>
      <c r="W507" s="85"/>
    </row>
    <row r="508" spans="1:23" s="33" customFormat="1" ht="13.8" x14ac:dyDescent="0.25">
      <c r="A508" s="34"/>
      <c r="B508" s="58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59"/>
      <c r="N508" s="59"/>
      <c r="O508" s="32"/>
      <c r="P508" s="85"/>
      <c r="Q508" s="126"/>
      <c r="R508" s="126"/>
      <c r="S508" s="126"/>
      <c r="T508" s="85"/>
      <c r="U508" s="85"/>
      <c r="V508" s="85"/>
      <c r="W508" s="85"/>
    </row>
    <row r="509" spans="1:23" s="33" customFormat="1" ht="13.8" x14ac:dyDescent="0.25">
      <c r="A509" s="34"/>
      <c r="B509" s="162" t="s">
        <v>521</v>
      </c>
      <c r="C509" s="40"/>
      <c r="D509" s="40"/>
      <c r="E509" s="40"/>
      <c r="F509" s="40"/>
      <c r="G509" s="40"/>
      <c r="H509" s="157"/>
      <c r="I509" s="40"/>
      <c r="J509" s="40"/>
      <c r="K509" s="40"/>
      <c r="L509" s="40">
        <v>1</v>
      </c>
      <c r="M509" s="59">
        <f>+(SUM(L510:L539)*L509)</f>
        <v>89.509999999999991</v>
      </c>
      <c r="N509" s="97" t="s">
        <v>7</v>
      </c>
      <c r="O509" s="32"/>
      <c r="P509" s="85"/>
      <c r="Q509" s="126"/>
      <c r="R509" s="126"/>
      <c r="S509" s="126"/>
      <c r="T509" s="85"/>
      <c r="U509" s="85"/>
      <c r="V509" s="85"/>
      <c r="W509" s="85"/>
    </row>
    <row r="510" spans="1:23" s="33" customFormat="1" ht="13.8" x14ac:dyDescent="0.25">
      <c r="A510" s="34"/>
      <c r="B510" s="160" t="s">
        <v>106</v>
      </c>
      <c r="C510" s="40"/>
      <c r="D510" s="40"/>
      <c r="E510" s="40"/>
      <c r="F510" s="40"/>
      <c r="G510" s="40"/>
      <c r="H510" s="157"/>
      <c r="I510" s="40"/>
      <c r="J510" s="40"/>
      <c r="K510" s="158">
        <f>+K511</f>
        <v>6.7200000000000006</v>
      </c>
      <c r="L510" s="158">
        <f>+K510-K513</f>
        <v>5.2500000000000009</v>
      </c>
      <c r="M510" s="59"/>
      <c r="N510" s="159"/>
      <c r="O510" s="32"/>
      <c r="P510" s="85"/>
      <c r="Q510" s="126"/>
      <c r="R510" s="126"/>
      <c r="S510" s="126"/>
      <c r="T510" s="85"/>
      <c r="U510" s="85"/>
      <c r="V510" s="85"/>
      <c r="W510" s="85"/>
    </row>
    <row r="511" spans="1:23" s="66" customFormat="1" ht="13.8" x14ac:dyDescent="0.25">
      <c r="A511" s="34"/>
      <c r="B511" s="39" t="s">
        <v>134</v>
      </c>
      <c r="C511" s="40">
        <v>1</v>
      </c>
      <c r="D511" s="40">
        <v>2.1</v>
      </c>
      <c r="E511" s="40"/>
      <c r="F511" s="40">
        <v>3.2</v>
      </c>
      <c r="G511" s="40"/>
      <c r="H511" s="157">
        <f>+F511*D511</f>
        <v>6.7200000000000006</v>
      </c>
      <c r="I511" s="40"/>
      <c r="J511" s="40">
        <f>+H511</f>
        <v>6.7200000000000006</v>
      </c>
      <c r="K511" s="40">
        <f>+J511*C511</f>
        <v>6.7200000000000006</v>
      </c>
      <c r="L511" s="40"/>
      <c r="M511" s="59"/>
      <c r="N511" s="98"/>
      <c r="O511" s="65"/>
      <c r="P511" s="87"/>
      <c r="Q511" s="128"/>
      <c r="R511" s="128"/>
      <c r="S511" s="128"/>
      <c r="T511" s="87"/>
      <c r="U511" s="87"/>
      <c r="V511" s="87"/>
      <c r="W511" s="87"/>
    </row>
    <row r="512" spans="1:23" s="66" customFormat="1" ht="13.8" x14ac:dyDescent="0.25">
      <c r="A512" s="34"/>
      <c r="B512" s="39"/>
      <c r="C512" s="40"/>
      <c r="D512" s="40"/>
      <c r="E512" s="40"/>
      <c r="F512" s="40"/>
      <c r="G512" s="40"/>
      <c r="H512" s="157"/>
      <c r="I512" s="40"/>
      <c r="J512" s="40"/>
      <c r="K512" s="40"/>
      <c r="L512" s="40"/>
      <c r="M512" s="59"/>
      <c r="N512" s="98"/>
      <c r="O512" s="65"/>
      <c r="P512" s="87"/>
      <c r="Q512" s="128"/>
      <c r="R512" s="128"/>
      <c r="S512" s="128"/>
      <c r="T512" s="87"/>
      <c r="U512" s="87"/>
      <c r="V512" s="87"/>
      <c r="W512" s="87"/>
    </row>
    <row r="513" spans="1:23" s="66" customFormat="1" ht="13.8" x14ac:dyDescent="0.25">
      <c r="A513" s="34"/>
      <c r="B513" s="129" t="s">
        <v>133</v>
      </c>
      <c r="C513" s="40"/>
      <c r="D513" s="40"/>
      <c r="E513" s="40"/>
      <c r="F513" s="40"/>
      <c r="G513" s="40"/>
      <c r="H513" s="157"/>
      <c r="I513" s="40"/>
      <c r="J513" s="40"/>
      <c r="K513" s="59">
        <f>+K515</f>
        <v>1.47</v>
      </c>
      <c r="L513" s="59"/>
      <c r="M513" s="59"/>
      <c r="N513" s="98"/>
      <c r="O513" s="65"/>
      <c r="P513" s="87"/>
      <c r="Q513" s="128"/>
      <c r="R513" s="128"/>
      <c r="S513" s="128"/>
      <c r="T513" s="87"/>
      <c r="U513" s="87"/>
      <c r="V513" s="87"/>
      <c r="W513" s="87"/>
    </row>
    <row r="514" spans="1:23" s="66" customFormat="1" ht="13.8" x14ac:dyDescent="0.25">
      <c r="A514" s="34"/>
      <c r="B514" s="68" t="s">
        <v>106</v>
      </c>
      <c r="C514" s="40"/>
      <c r="D514" s="40"/>
      <c r="E514" s="40"/>
      <c r="F514" s="40"/>
      <c r="G514" s="40"/>
      <c r="H514" s="157"/>
      <c r="I514" s="40"/>
      <c r="J514" s="40"/>
      <c r="K514" s="40"/>
      <c r="L514" s="40"/>
      <c r="M514" s="59"/>
      <c r="N514" s="98"/>
      <c r="O514" s="65"/>
      <c r="P514" s="87"/>
      <c r="Q514" s="128"/>
      <c r="R514" s="128"/>
      <c r="S514" s="128"/>
      <c r="T514" s="87"/>
      <c r="U514" s="87"/>
      <c r="V514" s="87"/>
      <c r="W514" s="87"/>
    </row>
    <row r="515" spans="1:23" s="66" customFormat="1" ht="13.8" x14ac:dyDescent="0.25">
      <c r="A515" s="34"/>
      <c r="B515" s="39" t="s">
        <v>526</v>
      </c>
      <c r="C515" s="40">
        <v>1</v>
      </c>
      <c r="D515" s="40">
        <v>0.7</v>
      </c>
      <c r="E515" s="40"/>
      <c r="F515" s="40">
        <v>2.1</v>
      </c>
      <c r="G515" s="40"/>
      <c r="H515" s="157">
        <f>+F515*D515</f>
        <v>1.47</v>
      </c>
      <c r="I515" s="40"/>
      <c r="J515" s="40">
        <f>+H515</f>
        <v>1.47</v>
      </c>
      <c r="K515" s="40">
        <f>+J515*C515</f>
        <v>1.47</v>
      </c>
      <c r="L515" s="40"/>
      <c r="M515" s="59"/>
      <c r="N515" s="98"/>
      <c r="O515" s="65"/>
      <c r="P515" s="87"/>
      <c r="Q515" s="128"/>
      <c r="R515" s="128"/>
      <c r="S515" s="128"/>
      <c r="T515" s="87"/>
      <c r="U515" s="87"/>
      <c r="V515" s="87"/>
      <c r="W515" s="87"/>
    </row>
    <row r="516" spans="1:23" s="66" customFormat="1" ht="13.8" x14ac:dyDescent="0.25">
      <c r="A516" s="34"/>
      <c r="B516" s="68"/>
      <c r="C516" s="40"/>
      <c r="D516" s="40"/>
      <c r="E516" s="40"/>
      <c r="F516" s="40"/>
      <c r="G516" s="40"/>
      <c r="H516" s="157"/>
      <c r="I516" s="40"/>
      <c r="J516" s="40"/>
      <c r="K516" s="40"/>
      <c r="L516" s="40"/>
      <c r="M516" s="59"/>
      <c r="N516" s="98"/>
      <c r="O516" s="65"/>
      <c r="P516" s="87"/>
      <c r="Q516" s="128"/>
      <c r="R516" s="128"/>
      <c r="S516" s="128"/>
      <c r="T516" s="87"/>
      <c r="U516" s="87"/>
      <c r="V516" s="87"/>
      <c r="W516" s="87"/>
    </row>
    <row r="517" spans="1:23" s="33" customFormat="1" ht="13.8" x14ac:dyDescent="0.25">
      <c r="A517" s="34"/>
      <c r="B517" s="160" t="s">
        <v>107</v>
      </c>
      <c r="C517" s="40"/>
      <c r="D517" s="40"/>
      <c r="E517" s="40"/>
      <c r="F517" s="40"/>
      <c r="G517" s="40"/>
      <c r="H517" s="157"/>
      <c r="I517" s="40"/>
      <c r="J517" s="40"/>
      <c r="K517" s="158">
        <f>+SUM(K518:K520)</f>
        <v>34.08</v>
      </c>
      <c r="L517" s="158">
        <f>+K517-K523</f>
        <v>29.04</v>
      </c>
      <c r="M517" s="59"/>
      <c r="N517" s="159"/>
      <c r="O517" s="32"/>
      <c r="P517" s="85"/>
      <c r="Q517" s="126"/>
      <c r="R517" s="126"/>
      <c r="S517" s="126"/>
      <c r="T517" s="85"/>
      <c r="U517" s="85"/>
      <c r="V517" s="85"/>
      <c r="W517" s="85"/>
    </row>
    <row r="518" spans="1:23" s="66" customFormat="1" ht="13.8" x14ac:dyDescent="0.25">
      <c r="A518" s="34"/>
      <c r="B518" s="39" t="s">
        <v>540</v>
      </c>
      <c r="C518" s="40">
        <v>1</v>
      </c>
      <c r="D518" s="40">
        <v>2.7</v>
      </c>
      <c r="E518" s="40"/>
      <c r="F518" s="40">
        <v>3.2</v>
      </c>
      <c r="G518" s="40"/>
      <c r="H518" s="157">
        <f>+F518*D518</f>
        <v>8.64</v>
      </c>
      <c r="I518" s="40"/>
      <c r="J518" s="40">
        <f>+H518</f>
        <v>8.64</v>
      </c>
      <c r="K518" s="40">
        <f>+J518*C518</f>
        <v>8.64</v>
      </c>
      <c r="L518" s="40"/>
      <c r="M518" s="59"/>
      <c r="N518" s="98"/>
      <c r="O518" s="65"/>
      <c r="P518" s="87"/>
      <c r="Q518" s="128"/>
      <c r="R518" s="128"/>
      <c r="S518" s="128"/>
      <c r="T518" s="87"/>
      <c r="U518" s="87"/>
      <c r="V518" s="87"/>
      <c r="W518" s="87"/>
    </row>
    <row r="519" spans="1:23" s="66" customFormat="1" ht="13.8" x14ac:dyDescent="0.25">
      <c r="A519" s="34"/>
      <c r="B519" s="39" t="s">
        <v>541</v>
      </c>
      <c r="C519" s="40">
        <v>2</v>
      </c>
      <c r="D519" s="40">
        <v>2.1</v>
      </c>
      <c r="E519" s="40"/>
      <c r="F519" s="40">
        <v>3.2</v>
      </c>
      <c r="G519" s="40"/>
      <c r="H519" s="157">
        <f t="shared" ref="H519:H520" si="112">+F519*D519</f>
        <v>6.7200000000000006</v>
      </c>
      <c r="I519" s="40"/>
      <c r="J519" s="40">
        <f t="shared" ref="J519:J520" si="113">+H519</f>
        <v>6.7200000000000006</v>
      </c>
      <c r="K519" s="40">
        <f t="shared" ref="K519:K520" si="114">+J519*C519</f>
        <v>13.440000000000001</v>
      </c>
      <c r="L519" s="40"/>
      <c r="M519" s="59"/>
      <c r="N519" s="98"/>
      <c r="O519" s="65"/>
      <c r="P519" s="87"/>
      <c r="Q519" s="128"/>
      <c r="R519" s="128"/>
      <c r="S519" s="128"/>
      <c r="T519" s="87"/>
      <c r="U519" s="87"/>
      <c r="V519" s="87"/>
      <c r="W519" s="87"/>
    </row>
    <row r="520" spans="1:23" s="66" customFormat="1" ht="13.8" x14ac:dyDescent="0.25">
      <c r="A520" s="34"/>
      <c r="B520" s="39" t="s">
        <v>540</v>
      </c>
      <c r="C520" s="40">
        <v>1</v>
      </c>
      <c r="D520" s="40">
        <v>3.75</v>
      </c>
      <c r="E520" s="40"/>
      <c r="F520" s="40">
        <v>3.2</v>
      </c>
      <c r="G520" s="40"/>
      <c r="H520" s="157">
        <f t="shared" si="112"/>
        <v>12</v>
      </c>
      <c r="I520" s="40"/>
      <c r="J520" s="40">
        <f t="shared" si="113"/>
        <v>12</v>
      </c>
      <c r="K520" s="40">
        <f t="shared" si="114"/>
        <v>12</v>
      </c>
      <c r="L520" s="40"/>
      <c r="M520" s="59"/>
      <c r="N520" s="98"/>
      <c r="O520" s="65"/>
      <c r="P520" s="87"/>
      <c r="Q520" s="128"/>
      <c r="R520" s="128"/>
      <c r="S520" s="128"/>
      <c r="T520" s="87"/>
      <c r="U520" s="87"/>
      <c r="V520" s="87"/>
      <c r="W520" s="87"/>
    </row>
    <row r="521" spans="1:23" s="66" customFormat="1" ht="13.8" x14ac:dyDescent="0.25">
      <c r="A521" s="34"/>
      <c r="B521" s="39"/>
      <c r="C521" s="40"/>
      <c r="D521" s="40"/>
      <c r="E521" s="40"/>
      <c r="F521" s="40"/>
      <c r="G521" s="40"/>
      <c r="H521" s="157"/>
      <c r="I521" s="40"/>
      <c r="J521" s="40"/>
      <c r="K521" s="40"/>
      <c r="L521" s="40"/>
      <c r="M521" s="59"/>
      <c r="N521" s="98"/>
      <c r="O521" s="65"/>
      <c r="P521" s="87"/>
      <c r="Q521" s="128"/>
      <c r="R521" s="128"/>
      <c r="S521" s="128"/>
      <c r="T521" s="87"/>
      <c r="U521" s="87"/>
      <c r="V521" s="87"/>
      <c r="W521" s="87"/>
    </row>
    <row r="522" spans="1:23" s="66" customFormat="1" ht="13.8" x14ac:dyDescent="0.25">
      <c r="A522" s="34"/>
      <c r="B522" s="39"/>
      <c r="C522" s="40"/>
      <c r="D522" s="40"/>
      <c r="E522" s="40"/>
      <c r="F522" s="40"/>
      <c r="G522" s="40"/>
      <c r="H522" s="157"/>
      <c r="I522" s="40"/>
      <c r="J522" s="40"/>
      <c r="K522" s="40"/>
      <c r="L522" s="40"/>
      <c r="M522" s="59"/>
      <c r="N522" s="98"/>
      <c r="O522" s="65"/>
      <c r="P522" s="87"/>
      <c r="Q522" s="128"/>
      <c r="R522" s="128"/>
      <c r="S522" s="128"/>
      <c r="T522" s="87"/>
      <c r="U522" s="87"/>
      <c r="V522" s="87"/>
      <c r="W522" s="87"/>
    </row>
    <row r="523" spans="1:23" s="66" customFormat="1" ht="13.8" x14ac:dyDescent="0.25">
      <c r="A523" s="34"/>
      <c r="B523" s="129" t="s">
        <v>133</v>
      </c>
      <c r="C523" s="40"/>
      <c r="D523" s="40"/>
      <c r="E523" s="40"/>
      <c r="F523" s="40"/>
      <c r="G523" s="40"/>
      <c r="H523" s="157"/>
      <c r="I523" s="40"/>
      <c r="J523" s="40"/>
      <c r="K523" s="59">
        <f>+SUM(K525:K526)</f>
        <v>5.0400000000000009</v>
      </c>
      <c r="L523" s="59"/>
      <c r="M523" s="59"/>
      <c r="N523" s="98"/>
      <c r="O523" s="65"/>
      <c r="P523" s="87"/>
      <c r="Q523" s="128"/>
      <c r="R523" s="128"/>
      <c r="S523" s="128"/>
      <c r="T523" s="87"/>
      <c r="U523" s="87"/>
      <c r="V523" s="87"/>
      <c r="W523" s="87"/>
    </row>
    <row r="524" spans="1:23" s="66" customFormat="1" ht="13.8" x14ac:dyDescent="0.25">
      <c r="A524" s="34"/>
      <c r="B524" s="68" t="s">
        <v>107</v>
      </c>
      <c r="C524" s="40"/>
      <c r="D524" s="40"/>
      <c r="E524" s="40"/>
      <c r="F524" s="40"/>
      <c r="G524" s="40"/>
      <c r="H524" s="157"/>
      <c r="I524" s="40"/>
      <c r="J524" s="40"/>
      <c r="K524" s="40"/>
      <c r="L524" s="40"/>
      <c r="M524" s="59"/>
      <c r="N524" s="98"/>
      <c r="O524" s="65"/>
      <c r="P524" s="87"/>
      <c r="Q524" s="128"/>
      <c r="R524" s="128"/>
      <c r="S524" s="128"/>
      <c r="T524" s="87"/>
      <c r="U524" s="87"/>
      <c r="V524" s="87"/>
      <c r="W524" s="87"/>
    </row>
    <row r="525" spans="1:23" s="66" customFormat="1" ht="13.8" x14ac:dyDescent="0.25">
      <c r="A525" s="34"/>
      <c r="B525" s="39" t="s">
        <v>543</v>
      </c>
      <c r="C525" s="40">
        <v>1</v>
      </c>
      <c r="D525" s="40">
        <v>0.8</v>
      </c>
      <c r="E525" s="40"/>
      <c r="F525" s="40">
        <v>2.1</v>
      </c>
      <c r="G525" s="40"/>
      <c r="H525" s="157">
        <f>+F525*D525</f>
        <v>1.6800000000000002</v>
      </c>
      <c r="I525" s="40"/>
      <c r="J525" s="40">
        <f>+H525</f>
        <v>1.6800000000000002</v>
      </c>
      <c r="K525" s="40">
        <f>+J525*C525</f>
        <v>1.6800000000000002</v>
      </c>
      <c r="L525" s="40"/>
      <c r="M525" s="59"/>
      <c r="N525" s="98"/>
      <c r="O525" s="65"/>
      <c r="P525" s="87"/>
      <c r="Q525" s="128"/>
      <c r="R525" s="128"/>
      <c r="S525" s="128"/>
      <c r="T525" s="87"/>
      <c r="U525" s="87"/>
      <c r="V525" s="87"/>
      <c r="W525" s="87"/>
    </row>
    <row r="526" spans="1:23" s="66" customFormat="1" ht="13.8" x14ac:dyDescent="0.25">
      <c r="A526" s="34"/>
      <c r="B526" s="39" t="s">
        <v>542</v>
      </c>
      <c r="C526" s="40">
        <v>2</v>
      </c>
      <c r="D526" s="40">
        <v>0.8</v>
      </c>
      <c r="E526" s="40"/>
      <c r="F526" s="40">
        <v>2.1</v>
      </c>
      <c r="G526" s="40"/>
      <c r="H526" s="157">
        <f>+F526*D526</f>
        <v>1.6800000000000002</v>
      </c>
      <c r="I526" s="40"/>
      <c r="J526" s="40">
        <f>+H526</f>
        <v>1.6800000000000002</v>
      </c>
      <c r="K526" s="40">
        <f>+J526*C526</f>
        <v>3.3600000000000003</v>
      </c>
      <c r="L526" s="40"/>
      <c r="M526" s="59"/>
      <c r="N526" s="98"/>
      <c r="O526" s="65"/>
      <c r="P526" s="87"/>
      <c r="Q526" s="128"/>
      <c r="R526" s="128"/>
      <c r="S526" s="128"/>
      <c r="T526" s="87"/>
      <c r="U526" s="87"/>
      <c r="V526" s="87"/>
      <c r="W526" s="87"/>
    </row>
    <row r="527" spans="1:23" s="33" customFormat="1" ht="13.8" x14ac:dyDescent="0.25">
      <c r="A527" s="34"/>
      <c r="B527" s="58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59"/>
      <c r="N527" s="59"/>
      <c r="O527" s="32"/>
      <c r="P527" s="85"/>
      <c r="Q527" s="126"/>
      <c r="R527" s="126"/>
      <c r="S527" s="126"/>
      <c r="T527" s="85"/>
      <c r="U527" s="85"/>
      <c r="V527" s="85"/>
      <c r="W527" s="85"/>
    </row>
    <row r="528" spans="1:23" s="33" customFormat="1" ht="13.8" x14ac:dyDescent="0.25">
      <c r="A528" s="34"/>
      <c r="B528" s="160" t="s">
        <v>204</v>
      </c>
      <c r="C528" s="40"/>
      <c r="D528" s="40"/>
      <c r="E528" s="40"/>
      <c r="F528" s="40"/>
      <c r="G528" s="40"/>
      <c r="H528" s="157"/>
      <c r="I528" s="40"/>
      <c r="J528" s="40"/>
      <c r="K528" s="158">
        <f>+SUM(K529:K532)</f>
        <v>48</v>
      </c>
      <c r="L528" s="158">
        <f>+K528-K534</f>
        <v>44.43</v>
      </c>
      <c r="M528" s="59"/>
      <c r="N528" s="159"/>
      <c r="O528" s="32"/>
      <c r="P528" s="85"/>
      <c r="Q528" s="126"/>
      <c r="R528" s="126"/>
      <c r="S528" s="126"/>
      <c r="T528" s="85"/>
      <c r="U528" s="85"/>
      <c r="V528" s="85"/>
      <c r="W528" s="85"/>
    </row>
    <row r="529" spans="1:23" s="66" customFormat="1" ht="13.8" x14ac:dyDescent="0.25">
      <c r="A529" s="34"/>
      <c r="B529" s="39" t="s">
        <v>134</v>
      </c>
      <c r="C529" s="40">
        <v>1</v>
      </c>
      <c r="D529" s="40">
        <v>2.6</v>
      </c>
      <c r="E529" s="40"/>
      <c r="F529" s="40">
        <v>3.2</v>
      </c>
      <c r="G529" s="40"/>
      <c r="H529" s="157">
        <f>+F529*D529</f>
        <v>8.32</v>
      </c>
      <c r="I529" s="40"/>
      <c r="J529" s="40">
        <f>+H529</f>
        <v>8.32</v>
      </c>
      <c r="K529" s="40">
        <f>+J529*C529</f>
        <v>8.32</v>
      </c>
      <c r="L529" s="40"/>
      <c r="M529" s="59"/>
      <c r="N529" s="98"/>
      <c r="O529" s="65"/>
      <c r="P529" s="87"/>
      <c r="Q529" s="128"/>
      <c r="R529" s="128"/>
      <c r="S529" s="128"/>
      <c r="T529" s="87"/>
      <c r="U529" s="87"/>
      <c r="V529" s="87"/>
      <c r="W529" s="87"/>
    </row>
    <row r="530" spans="1:23" s="66" customFormat="1" ht="13.8" x14ac:dyDescent="0.25">
      <c r="A530" s="34"/>
      <c r="B530" s="39" t="s">
        <v>553</v>
      </c>
      <c r="C530" s="40">
        <v>1</v>
      </c>
      <c r="D530" s="40">
        <v>2</v>
      </c>
      <c r="E530" s="40"/>
      <c r="F530" s="40">
        <v>3.2</v>
      </c>
      <c r="G530" s="40"/>
      <c r="H530" s="157">
        <f t="shared" ref="H530:H531" si="115">+F530*D530</f>
        <v>6.4</v>
      </c>
      <c r="I530" s="40"/>
      <c r="J530" s="40">
        <f t="shared" ref="J530:J531" si="116">+H530</f>
        <v>6.4</v>
      </c>
      <c r="K530" s="40">
        <f t="shared" ref="K530:K531" si="117">+J530*C530</f>
        <v>6.4</v>
      </c>
      <c r="L530" s="40"/>
      <c r="M530" s="59"/>
      <c r="N530" s="98"/>
      <c r="O530" s="65"/>
      <c r="P530" s="87"/>
      <c r="Q530" s="128"/>
      <c r="R530" s="128"/>
      <c r="S530" s="128"/>
      <c r="T530" s="87"/>
      <c r="U530" s="87"/>
      <c r="V530" s="87"/>
      <c r="W530" s="87"/>
    </row>
    <row r="531" spans="1:23" s="66" customFormat="1" ht="13.8" x14ac:dyDescent="0.25">
      <c r="A531" s="34"/>
      <c r="B531" s="39" t="s">
        <v>554</v>
      </c>
      <c r="C531" s="40">
        <v>1</v>
      </c>
      <c r="D531" s="40">
        <v>7.7</v>
      </c>
      <c r="E531" s="40"/>
      <c r="F531" s="40">
        <v>3.2</v>
      </c>
      <c r="G531" s="40"/>
      <c r="H531" s="157">
        <f t="shared" si="115"/>
        <v>24.64</v>
      </c>
      <c r="I531" s="40"/>
      <c r="J531" s="40">
        <f t="shared" si="116"/>
        <v>24.64</v>
      </c>
      <c r="K531" s="40">
        <f t="shared" si="117"/>
        <v>24.64</v>
      </c>
      <c r="L531" s="40"/>
      <c r="M531" s="59"/>
      <c r="N531" s="98"/>
      <c r="O531" s="65"/>
      <c r="P531" s="87"/>
      <c r="Q531" s="128"/>
      <c r="R531" s="128"/>
      <c r="S531" s="128"/>
      <c r="T531" s="87"/>
      <c r="U531" s="87"/>
      <c r="V531" s="87"/>
      <c r="W531" s="87"/>
    </row>
    <row r="532" spans="1:23" s="66" customFormat="1" ht="13.8" x14ac:dyDescent="0.25">
      <c r="A532" s="34"/>
      <c r="B532" s="39" t="s">
        <v>555</v>
      </c>
      <c r="C532" s="40">
        <v>1</v>
      </c>
      <c r="D532" s="40">
        <v>2.7</v>
      </c>
      <c r="E532" s="40"/>
      <c r="F532" s="40">
        <v>3.2</v>
      </c>
      <c r="G532" s="40"/>
      <c r="H532" s="157">
        <f t="shared" ref="H532" si="118">+F532*D532</f>
        <v>8.64</v>
      </c>
      <c r="I532" s="40"/>
      <c r="J532" s="40">
        <f t="shared" ref="J532" si="119">+H532</f>
        <v>8.64</v>
      </c>
      <c r="K532" s="40">
        <f t="shared" ref="K532" si="120">+J532*C532</f>
        <v>8.64</v>
      </c>
      <c r="L532" s="40"/>
      <c r="M532" s="59"/>
      <c r="N532" s="98"/>
      <c r="O532" s="65"/>
      <c r="P532" s="87"/>
      <c r="Q532" s="128"/>
      <c r="R532" s="128"/>
      <c r="S532" s="128"/>
      <c r="T532" s="87"/>
      <c r="U532" s="87"/>
      <c r="V532" s="87"/>
      <c r="W532" s="87"/>
    </row>
    <row r="533" spans="1:23" s="66" customFormat="1" ht="13.8" x14ac:dyDescent="0.25">
      <c r="A533" s="34"/>
      <c r="B533" s="39"/>
      <c r="C533" s="40"/>
      <c r="D533" s="40"/>
      <c r="E533" s="40"/>
      <c r="F533" s="40"/>
      <c r="G533" s="40"/>
      <c r="H533" s="157"/>
      <c r="I533" s="40"/>
      <c r="J533" s="40"/>
      <c r="K533" s="40"/>
      <c r="L533" s="40"/>
      <c r="M533" s="59"/>
      <c r="N533" s="98"/>
      <c r="O533" s="65"/>
      <c r="P533" s="87"/>
      <c r="Q533" s="128"/>
      <c r="R533" s="128"/>
      <c r="S533" s="128"/>
      <c r="T533" s="87"/>
      <c r="U533" s="87"/>
      <c r="V533" s="87"/>
      <c r="W533" s="87"/>
    </row>
    <row r="534" spans="1:23" s="66" customFormat="1" ht="13.8" x14ac:dyDescent="0.25">
      <c r="A534" s="34"/>
      <c r="B534" s="129" t="s">
        <v>133</v>
      </c>
      <c r="C534" s="40"/>
      <c r="D534" s="40"/>
      <c r="E534" s="40"/>
      <c r="F534" s="40"/>
      <c r="G534" s="40"/>
      <c r="H534" s="157"/>
      <c r="I534" s="40"/>
      <c r="J534" s="40"/>
      <c r="K534" s="59">
        <f>+SUM(K536:K537)</f>
        <v>3.5700000000000003</v>
      </c>
      <c r="L534" s="59"/>
      <c r="M534" s="59"/>
      <c r="N534" s="98"/>
      <c r="O534" s="65"/>
      <c r="P534" s="87"/>
      <c r="Q534" s="128"/>
      <c r="R534" s="128"/>
      <c r="S534" s="128"/>
      <c r="T534" s="87"/>
      <c r="U534" s="87"/>
      <c r="V534" s="87"/>
      <c r="W534" s="87"/>
    </row>
    <row r="535" spans="1:23" s="66" customFormat="1" ht="13.8" x14ac:dyDescent="0.25">
      <c r="A535" s="34"/>
      <c r="B535" s="68" t="s">
        <v>204</v>
      </c>
      <c r="C535" s="40"/>
      <c r="D535" s="40"/>
      <c r="E535" s="40"/>
      <c r="F535" s="40"/>
      <c r="G535" s="40"/>
      <c r="H535" s="157"/>
      <c r="I535" s="40"/>
      <c r="J535" s="40"/>
      <c r="K535" s="40"/>
      <c r="L535" s="40"/>
      <c r="M535" s="59"/>
      <c r="N535" s="98"/>
      <c r="O535" s="65"/>
      <c r="P535" s="87"/>
      <c r="Q535" s="128"/>
      <c r="R535" s="128"/>
      <c r="S535" s="128"/>
      <c r="T535" s="87"/>
      <c r="U535" s="87"/>
      <c r="V535" s="87"/>
      <c r="W535" s="87"/>
    </row>
    <row r="536" spans="1:23" s="66" customFormat="1" ht="13.8" x14ac:dyDescent="0.25">
      <c r="A536" s="34"/>
      <c r="B536" s="39" t="s">
        <v>556</v>
      </c>
      <c r="C536" s="40">
        <v>1</v>
      </c>
      <c r="D536" s="40">
        <v>0.8</v>
      </c>
      <c r="E536" s="40"/>
      <c r="F536" s="40">
        <v>2.1</v>
      </c>
      <c r="G536" s="40"/>
      <c r="H536" s="157">
        <f>+F536*D536</f>
        <v>1.6800000000000002</v>
      </c>
      <c r="I536" s="40"/>
      <c r="J536" s="40">
        <f>+H536</f>
        <v>1.6800000000000002</v>
      </c>
      <c r="K536" s="40">
        <f>+J536*C536</f>
        <v>1.6800000000000002</v>
      </c>
      <c r="L536" s="40"/>
      <c r="M536" s="59"/>
      <c r="N536" s="98"/>
      <c r="O536" s="65"/>
      <c r="P536" s="87"/>
      <c r="Q536" s="128"/>
      <c r="R536" s="128"/>
      <c r="S536" s="128"/>
      <c r="T536" s="87"/>
      <c r="U536" s="87"/>
      <c r="V536" s="87"/>
      <c r="W536" s="87"/>
    </row>
    <row r="537" spans="1:23" s="66" customFormat="1" ht="13.8" x14ac:dyDescent="0.25">
      <c r="A537" s="34"/>
      <c r="B537" s="39" t="s">
        <v>557</v>
      </c>
      <c r="C537" s="40">
        <v>1</v>
      </c>
      <c r="D537" s="40">
        <v>0.9</v>
      </c>
      <c r="E537" s="40"/>
      <c r="F537" s="40">
        <v>2.1</v>
      </c>
      <c r="G537" s="40"/>
      <c r="H537" s="157">
        <f>+F537*D537</f>
        <v>1.8900000000000001</v>
      </c>
      <c r="I537" s="40"/>
      <c r="J537" s="40">
        <f>+H537</f>
        <v>1.8900000000000001</v>
      </c>
      <c r="K537" s="40">
        <f>+J537*C537</f>
        <v>1.8900000000000001</v>
      </c>
      <c r="L537" s="40"/>
      <c r="M537" s="59"/>
      <c r="N537" s="98"/>
      <c r="O537" s="65"/>
      <c r="P537" s="87"/>
      <c r="Q537" s="128"/>
      <c r="R537" s="128"/>
      <c r="S537" s="128"/>
      <c r="T537" s="87"/>
      <c r="U537" s="87"/>
      <c r="V537" s="87"/>
      <c r="W537" s="87"/>
    </row>
    <row r="538" spans="1:23" s="66" customFormat="1" ht="13.8" x14ac:dyDescent="0.25">
      <c r="A538" s="34"/>
      <c r="B538" s="39"/>
      <c r="C538" s="40"/>
      <c r="D538" s="40"/>
      <c r="E538" s="40"/>
      <c r="F538" s="40"/>
      <c r="G538" s="40"/>
      <c r="H538" s="157"/>
      <c r="I538" s="40"/>
      <c r="J538" s="40"/>
      <c r="K538" s="40"/>
      <c r="L538" s="40"/>
      <c r="M538" s="59"/>
      <c r="N538" s="98"/>
      <c r="O538" s="65"/>
      <c r="P538" s="87"/>
      <c r="Q538" s="128"/>
      <c r="R538" s="128"/>
      <c r="S538" s="128"/>
      <c r="T538" s="87"/>
      <c r="U538" s="87"/>
      <c r="V538" s="87"/>
      <c r="W538" s="87"/>
    </row>
    <row r="539" spans="1:23" s="33" customFormat="1" ht="13.8" x14ac:dyDescent="0.25">
      <c r="A539" s="34"/>
      <c r="B539" s="160" t="s">
        <v>205</v>
      </c>
      <c r="C539" s="40"/>
      <c r="D539" s="40"/>
      <c r="E539" s="40"/>
      <c r="F539" s="40"/>
      <c r="G539" s="40"/>
      <c r="H539" s="157"/>
      <c r="I539" s="40"/>
      <c r="J539" s="40"/>
      <c r="K539" s="158">
        <f>+K540</f>
        <v>12.469999999999999</v>
      </c>
      <c r="L539" s="158">
        <f>+K539-K542</f>
        <v>10.79</v>
      </c>
      <c r="M539" s="59"/>
      <c r="N539" s="159"/>
      <c r="O539" s="32"/>
      <c r="P539" s="85"/>
      <c r="Q539" s="126"/>
      <c r="R539" s="126"/>
      <c r="S539" s="126"/>
      <c r="T539" s="85"/>
      <c r="U539" s="85"/>
      <c r="V539" s="85"/>
      <c r="W539" s="85"/>
    </row>
    <row r="540" spans="1:23" s="66" customFormat="1" ht="13.8" x14ac:dyDescent="0.25">
      <c r="A540" s="34"/>
      <c r="B540" s="39" t="s">
        <v>292</v>
      </c>
      <c r="C540" s="40">
        <v>1</v>
      </c>
      <c r="D540" s="40">
        <v>4.3</v>
      </c>
      <c r="E540" s="40"/>
      <c r="F540" s="40">
        <v>2.9</v>
      </c>
      <c r="G540" s="40"/>
      <c r="H540" s="157">
        <f t="shared" ref="H540" si="121">+F540*D540</f>
        <v>12.469999999999999</v>
      </c>
      <c r="I540" s="40"/>
      <c r="J540" s="40">
        <f t="shared" ref="J540" si="122">+H540</f>
        <v>12.469999999999999</v>
      </c>
      <c r="K540" s="40">
        <f t="shared" ref="K540" si="123">+J540*C540</f>
        <v>12.469999999999999</v>
      </c>
      <c r="L540" s="40"/>
      <c r="M540" s="59"/>
      <c r="N540" s="98"/>
      <c r="O540" s="65"/>
      <c r="P540" s="87"/>
      <c r="Q540" s="128"/>
      <c r="R540" s="128"/>
      <c r="S540" s="128"/>
      <c r="T540" s="87"/>
      <c r="U540" s="87"/>
      <c r="V540" s="87"/>
      <c r="W540" s="87"/>
    </row>
    <row r="541" spans="1:23" s="66" customFormat="1" ht="13.8" x14ac:dyDescent="0.25">
      <c r="A541" s="34"/>
      <c r="B541" s="39"/>
      <c r="C541" s="40"/>
      <c r="D541" s="40"/>
      <c r="E541" s="40"/>
      <c r="F541" s="40"/>
      <c r="G541" s="40"/>
      <c r="H541" s="157"/>
      <c r="I541" s="40"/>
      <c r="J541" s="40"/>
      <c r="K541" s="40"/>
      <c r="L541" s="40"/>
      <c r="M541" s="59"/>
      <c r="N541" s="98"/>
      <c r="O541" s="65"/>
      <c r="P541" s="87"/>
      <c r="Q541" s="128"/>
      <c r="R541" s="128"/>
      <c r="S541" s="128"/>
      <c r="T541" s="87"/>
      <c r="U541" s="87"/>
      <c r="V541" s="87"/>
      <c r="W541" s="87"/>
    </row>
    <row r="542" spans="1:23" s="66" customFormat="1" ht="13.8" x14ac:dyDescent="0.25">
      <c r="A542" s="34"/>
      <c r="B542" s="129" t="s">
        <v>133</v>
      </c>
      <c r="C542" s="40"/>
      <c r="D542" s="40"/>
      <c r="E542" s="40"/>
      <c r="F542" s="40"/>
      <c r="G542" s="40"/>
      <c r="H542" s="157"/>
      <c r="I542" s="40"/>
      <c r="J542" s="40"/>
      <c r="K542" s="59">
        <f>+K544</f>
        <v>1.6800000000000002</v>
      </c>
      <c r="L542" s="59"/>
      <c r="M542" s="59"/>
      <c r="N542" s="98"/>
      <c r="O542" s="65"/>
      <c r="P542" s="87"/>
      <c r="Q542" s="128"/>
      <c r="R542" s="128"/>
      <c r="S542" s="128"/>
      <c r="T542" s="87"/>
      <c r="U542" s="87"/>
      <c r="V542" s="87"/>
      <c r="W542" s="87"/>
    </row>
    <row r="543" spans="1:23" s="66" customFormat="1" ht="13.8" x14ac:dyDescent="0.25">
      <c r="A543" s="34"/>
      <c r="B543" s="68" t="s">
        <v>205</v>
      </c>
      <c r="C543" s="40"/>
      <c r="D543" s="40"/>
      <c r="E543" s="40"/>
      <c r="F543" s="40"/>
      <c r="G543" s="40"/>
      <c r="H543" s="157"/>
      <c r="I543" s="40"/>
      <c r="J543" s="40"/>
      <c r="K543" s="40"/>
      <c r="L543" s="40"/>
      <c r="M543" s="59"/>
      <c r="N543" s="98"/>
      <c r="O543" s="65"/>
      <c r="P543" s="87"/>
      <c r="Q543" s="128"/>
      <c r="R543" s="128"/>
      <c r="S543" s="128"/>
      <c r="T543" s="87"/>
      <c r="U543" s="87"/>
      <c r="V543" s="87"/>
      <c r="W543" s="87"/>
    </row>
    <row r="544" spans="1:23" s="66" customFormat="1" ht="13.8" x14ac:dyDescent="0.25">
      <c r="A544" s="34"/>
      <c r="B544" s="39" t="s">
        <v>292</v>
      </c>
      <c r="C544" s="40">
        <v>1</v>
      </c>
      <c r="D544" s="40">
        <v>0.8</v>
      </c>
      <c r="E544" s="40"/>
      <c r="F544" s="40">
        <v>2.1</v>
      </c>
      <c r="G544" s="40"/>
      <c r="H544" s="157">
        <f>+F544*D544</f>
        <v>1.6800000000000002</v>
      </c>
      <c r="I544" s="40"/>
      <c r="J544" s="40">
        <f>+H544</f>
        <v>1.6800000000000002</v>
      </c>
      <c r="K544" s="40">
        <f>+J544*C544</f>
        <v>1.6800000000000002</v>
      </c>
      <c r="L544" s="40"/>
      <c r="M544" s="59"/>
      <c r="N544" s="98"/>
      <c r="O544" s="65"/>
      <c r="P544" s="87"/>
      <c r="Q544" s="128"/>
      <c r="R544" s="128"/>
      <c r="S544" s="128"/>
      <c r="T544" s="87"/>
      <c r="U544" s="87"/>
      <c r="V544" s="87"/>
      <c r="W544" s="87"/>
    </row>
    <row r="545" spans="1:23" s="66" customFormat="1" ht="13.8" x14ac:dyDescent="0.25">
      <c r="A545" s="34"/>
      <c r="B545" s="58"/>
      <c r="C545" s="40"/>
      <c r="D545" s="40"/>
      <c r="E545" s="40"/>
      <c r="F545" s="40"/>
      <c r="G545" s="40"/>
      <c r="H545" s="157"/>
      <c r="I545" s="40"/>
      <c r="J545" s="40"/>
      <c r="K545" s="40"/>
      <c r="L545" s="40"/>
      <c r="M545" s="59"/>
      <c r="N545" s="98"/>
      <c r="O545" s="65"/>
      <c r="P545" s="87"/>
      <c r="Q545" s="128"/>
      <c r="R545" s="128"/>
      <c r="S545" s="128"/>
      <c r="T545" s="87"/>
      <c r="U545" s="87"/>
      <c r="V545" s="87"/>
      <c r="W545" s="87"/>
    </row>
    <row r="546" spans="1:23" s="33" customFormat="1" ht="13.8" x14ac:dyDescent="0.25">
      <c r="A546" s="34"/>
      <c r="B546" s="162" t="s">
        <v>522</v>
      </c>
      <c r="C546" s="40"/>
      <c r="D546" s="40"/>
      <c r="E546" s="40"/>
      <c r="F546" s="40"/>
      <c r="G546" s="40"/>
      <c r="H546" s="157"/>
      <c r="I546" s="40"/>
      <c r="J546" s="40"/>
      <c r="K546" s="40"/>
      <c r="L546" s="40">
        <v>1</v>
      </c>
      <c r="M546" s="59">
        <f>+SUM(L547:L626)*L546</f>
        <v>903.29599999999994</v>
      </c>
      <c r="N546" s="97" t="s">
        <v>7</v>
      </c>
      <c r="O546" s="32"/>
      <c r="P546" s="85"/>
      <c r="Q546" s="126"/>
      <c r="R546" s="126"/>
      <c r="S546" s="126"/>
      <c r="T546" s="85"/>
      <c r="U546" s="85"/>
      <c r="V546" s="85"/>
      <c r="W546" s="85"/>
    </row>
    <row r="547" spans="1:23" s="33" customFormat="1" ht="13.8" x14ac:dyDescent="0.25">
      <c r="A547" s="34"/>
      <c r="B547" s="160" t="s">
        <v>106</v>
      </c>
      <c r="C547" s="40"/>
      <c r="D547" s="40"/>
      <c r="E547" s="40"/>
      <c r="F547" s="40"/>
      <c r="G547" s="40"/>
      <c r="H547" s="157"/>
      <c r="I547" s="40"/>
      <c r="J547" s="40"/>
      <c r="K547" s="158">
        <f>+SUM(K548:K558)</f>
        <v>294.77999999999997</v>
      </c>
      <c r="L547" s="158">
        <f>+K547-K560</f>
        <v>255.95399999999998</v>
      </c>
      <c r="M547" s="59"/>
      <c r="N547" s="159"/>
      <c r="O547" s="32"/>
      <c r="P547" s="85"/>
      <c r="Q547" s="126"/>
      <c r="R547" s="126"/>
      <c r="S547" s="126"/>
      <c r="T547" s="85"/>
      <c r="U547" s="85"/>
      <c r="V547" s="85"/>
      <c r="W547" s="85"/>
    </row>
    <row r="548" spans="1:23" s="66" customFormat="1" ht="13.8" x14ac:dyDescent="0.25">
      <c r="A548" s="34"/>
      <c r="B548" s="39" t="s">
        <v>574</v>
      </c>
      <c r="C548" s="40">
        <v>1</v>
      </c>
      <c r="D548" s="40">
        <f>20.5-D1099</f>
        <v>14</v>
      </c>
      <c r="E548" s="40"/>
      <c r="F548" s="40">
        <v>3.4</v>
      </c>
      <c r="G548" s="40"/>
      <c r="H548" s="157">
        <f>+F548*D548</f>
        <v>47.6</v>
      </c>
      <c r="I548" s="40"/>
      <c r="J548" s="40">
        <f>+H548</f>
        <v>47.6</v>
      </c>
      <c r="K548" s="40">
        <f>+J548*C548</f>
        <v>47.6</v>
      </c>
      <c r="L548" s="40"/>
      <c r="M548" s="59"/>
      <c r="N548" s="98"/>
      <c r="O548" s="65"/>
      <c r="P548" s="87"/>
      <c r="Q548" s="128"/>
      <c r="R548" s="128"/>
      <c r="S548" s="128"/>
      <c r="T548" s="87"/>
      <c r="U548" s="87"/>
      <c r="V548" s="87"/>
      <c r="W548" s="87"/>
    </row>
    <row r="549" spans="1:23" s="66" customFormat="1" ht="13.8" x14ac:dyDescent="0.25">
      <c r="A549" s="34"/>
      <c r="B549" s="39" t="s">
        <v>575</v>
      </c>
      <c r="C549" s="40">
        <v>1</v>
      </c>
      <c r="D549" s="40">
        <f>20.4-D1100</f>
        <v>15.399999999999999</v>
      </c>
      <c r="E549" s="40"/>
      <c r="F549" s="40">
        <v>3.4</v>
      </c>
      <c r="G549" s="40"/>
      <c r="H549" s="157">
        <f t="shared" ref="H549:H550" si="124">+F549*D549</f>
        <v>52.359999999999992</v>
      </c>
      <c r="I549" s="40"/>
      <c r="J549" s="40">
        <f t="shared" ref="J549:J550" si="125">+H549</f>
        <v>52.359999999999992</v>
      </c>
      <c r="K549" s="40">
        <f t="shared" ref="K549:K550" si="126">+J549*C549</f>
        <v>52.359999999999992</v>
      </c>
      <c r="L549" s="40"/>
      <c r="M549" s="59"/>
      <c r="N549" s="98"/>
      <c r="O549" s="65"/>
      <c r="P549" s="87"/>
      <c r="Q549" s="128"/>
      <c r="R549" s="128"/>
      <c r="S549" s="128"/>
      <c r="T549" s="87"/>
      <c r="U549" s="87"/>
      <c r="V549" s="87"/>
      <c r="W549" s="87"/>
    </row>
    <row r="550" spans="1:23" s="66" customFormat="1" ht="13.8" x14ac:dyDescent="0.25">
      <c r="A550" s="34"/>
      <c r="B550" s="39" t="s">
        <v>502</v>
      </c>
      <c r="C550" s="40">
        <v>1</v>
      </c>
      <c r="D550" s="40">
        <v>8.9</v>
      </c>
      <c r="E550" s="40"/>
      <c r="F550" s="40">
        <v>3.4</v>
      </c>
      <c r="G550" s="40"/>
      <c r="H550" s="157">
        <f t="shared" si="124"/>
        <v>30.26</v>
      </c>
      <c r="I550" s="40"/>
      <c r="J550" s="40">
        <f t="shared" si="125"/>
        <v>30.26</v>
      </c>
      <c r="K550" s="40">
        <f t="shared" si="126"/>
        <v>30.26</v>
      </c>
      <c r="L550" s="40"/>
      <c r="M550" s="59"/>
      <c r="N550" s="98"/>
      <c r="O550" s="65"/>
      <c r="P550" s="87"/>
      <c r="Q550" s="128"/>
      <c r="R550" s="128"/>
      <c r="S550" s="128"/>
      <c r="T550" s="87"/>
      <c r="U550" s="87"/>
      <c r="V550" s="87"/>
      <c r="W550" s="87"/>
    </row>
    <row r="551" spans="1:23" s="66" customFormat="1" ht="13.8" x14ac:dyDescent="0.25">
      <c r="A551" s="34"/>
      <c r="B551" s="39" t="s">
        <v>209</v>
      </c>
      <c r="C551" s="40">
        <v>1</v>
      </c>
      <c r="D551" s="40">
        <v>2.1</v>
      </c>
      <c r="E551" s="40"/>
      <c r="F551" s="40">
        <v>3.4</v>
      </c>
      <c r="G551" s="40"/>
      <c r="H551" s="157">
        <f t="shared" ref="H551" si="127">+F551*D551</f>
        <v>7.14</v>
      </c>
      <c r="I551" s="40"/>
      <c r="J551" s="40">
        <f t="shared" ref="J551" si="128">+H551</f>
        <v>7.14</v>
      </c>
      <c r="K551" s="40">
        <f t="shared" ref="K551" si="129">+J551*C551</f>
        <v>7.14</v>
      </c>
      <c r="L551" s="40"/>
      <c r="M551" s="59"/>
      <c r="N551" s="98"/>
      <c r="O551" s="65"/>
      <c r="P551" s="87"/>
      <c r="Q551" s="128"/>
      <c r="R551" s="128"/>
      <c r="S551" s="128"/>
      <c r="T551" s="87"/>
      <c r="U551" s="87"/>
      <c r="V551" s="87"/>
      <c r="W551" s="87"/>
    </row>
    <row r="552" spans="1:23" s="66" customFormat="1" ht="13.8" x14ac:dyDescent="0.25">
      <c r="A552" s="34"/>
      <c r="B552" s="39" t="s">
        <v>211</v>
      </c>
      <c r="C552" s="40">
        <v>1</v>
      </c>
      <c r="D552" s="40">
        <v>4</v>
      </c>
      <c r="E552" s="40"/>
      <c r="F552" s="40">
        <v>3.4</v>
      </c>
      <c r="G552" s="40"/>
      <c r="H552" s="157">
        <f t="shared" ref="H552" si="130">+F552*D552</f>
        <v>13.6</v>
      </c>
      <c r="I552" s="40"/>
      <c r="J552" s="40">
        <f t="shared" ref="J552" si="131">+H552</f>
        <v>13.6</v>
      </c>
      <c r="K552" s="40">
        <f t="shared" ref="K552" si="132">+J552*C552</f>
        <v>13.6</v>
      </c>
      <c r="L552" s="40"/>
      <c r="M552" s="59"/>
      <c r="N552" s="98"/>
      <c r="O552" s="65"/>
      <c r="P552" s="87"/>
      <c r="Q552" s="128"/>
      <c r="R552" s="128"/>
      <c r="S552" s="128"/>
      <c r="T552" s="87"/>
      <c r="U552" s="87"/>
      <c r="V552" s="87"/>
      <c r="W552" s="87"/>
    </row>
    <row r="553" spans="1:23" s="66" customFormat="1" ht="13.8" x14ac:dyDescent="0.25">
      <c r="A553" s="34"/>
      <c r="B553" s="39" t="s">
        <v>504</v>
      </c>
      <c r="C553" s="40">
        <v>1</v>
      </c>
      <c r="D553" s="40">
        <v>3.5</v>
      </c>
      <c r="E553" s="40"/>
      <c r="F553" s="40">
        <v>3.4</v>
      </c>
      <c r="G553" s="40"/>
      <c r="H553" s="157">
        <f t="shared" ref="H553" si="133">+F553*D553</f>
        <v>11.9</v>
      </c>
      <c r="I553" s="40"/>
      <c r="J553" s="40">
        <f t="shared" ref="J553" si="134">+H553</f>
        <v>11.9</v>
      </c>
      <c r="K553" s="40">
        <f t="shared" ref="K553" si="135">+J553*C553</f>
        <v>11.9</v>
      </c>
      <c r="L553" s="40"/>
      <c r="M553" s="59"/>
      <c r="N553" s="98"/>
      <c r="O553" s="65"/>
      <c r="P553" s="87"/>
      <c r="Q553" s="128"/>
      <c r="R553" s="128"/>
      <c r="S553" s="128"/>
      <c r="T553" s="87"/>
      <c r="U553" s="87"/>
      <c r="V553" s="87"/>
      <c r="W553" s="87"/>
    </row>
    <row r="554" spans="1:23" s="66" customFormat="1" ht="13.8" x14ac:dyDescent="0.25">
      <c r="A554" s="34"/>
      <c r="B554" s="39" t="s">
        <v>530</v>
      </c>
      <c r="C554" s="40">
        <v>1</v>
      </c>
      <c r="D554" s="40">
        <v>6.9</v>
      </c>
      <c r="E554" s="40"/>
      <c r="F554" s="40">
        <v>3.4</v>
      </c>
      <c r="G554" s="40"/>
      <c r="H554" s="157">
        <f t="shared" ref="H554" si="136">+F554*D554</f>
        <v>23.46</v>
      </c>
      <c r="I554" s="40"/>
      <c r="J554" s="40">
        <f t="shared" ref="J554" si="137">+H554</f>
        <v>23.46</v>
      </c>
      <c r="K554" s="40">
        <f t="shared" ref="K554" si="138">+J554*C554</f>
        <v>23.46</v>
      </c>
      <c r="L554" s="40"/>
      <c r="M554" s="59"/>
      <c r="N554" s="98"/>
      <c r="O554" s="65"/>
      <c r="P554" s="87"/>
      <c r="Q554" s="128"/>
      <c r="R554" s="128"/>
      <c r="S554" s="128"/>
      <c r="T554" s="87"/>
      <c r="U554" s="87"/>
      <c r="V554" s="87"/>
      <c r="W554" s="87"/>
    </row>
    <row r="555" spans="1:23" s="66" customFormat="1" ht="13.8" x14ac:dyDescent="0.25">
      <c r="A555" s="34"/>
      <c r="B555" s="39" t="s">
        <v>531</v>
      </c>
      <c r="C555" s="40">
        <v>1</v>
      </c>
      <c r="D555" s="40">
        <v>5.9</v>
      </c>
      <c r="E555" s="40"/>
      <c r="F555" s="40">
        <v>3.4</v>
      </c>
      <c r="G555" s="40"/>
      <c r="H555" s="157">
        <f t="shared" ref="H555" si="139">+F555*D555</f>
        <v>20.060000000000002</v>
      </c>
      <c r="I555" s="40"/>
      <c r="J555" s="40">
        <f t="shared" ref="J555" si="140">+H555</f>
        <v>20.060000000000002</v>
      </c>
      <c r="K555" s="40">
        <f t="shared" ref="K555" si="141">+J555*C555</f>
        <v>20.060000000000002</v>
      </c>
      <c r="L555" s="40"/>
      <c r="M555" s="59"/>
      <c r="N555" s="98"/>
      <c r="O555" s="65"/>
      <c r="P555" s="87"/>
      <c r="Q555" s="128"/>
      <c r="R555" s="128"/>
      <c r="S555" s="128"/>
      <c r="T555" s="87"/>
      <c r="U555" s="87"/>
      <c r="V555" s="87"/>
      <c r="W555" s="87"/>
    </row>
    <row r="556" spans="1:23" s="66" customFormat="1" ht="13.8" x14ac:dyDescent="0.25">
      <c r="A556" s="34"/>
      <c r="B556" s="39" t="s">
        <v>532</v>
      </c>
      <c r="C556" s="40">
        <v>1</v>
      </c>
      <c r="D556" s="40">
        <v>11.4</v>
      </c>
      <c r="E556" s="40"/>
      <c r="F556" s="40">
        <v>3.4</v>
      </c>
      <c r="G556" s="40"/>
      <c r="H556" s="157">
        <f t="shared" ref="H556" si="142">+F556*D556</f>
        <v>38.76</v>
      </c>
      <c r="I556" s="40"/>
      <c r="J556" s="40">
        <f t="shared" ref="J556" si="143">+H556</f>
        <v>38.76</v>
      </c>
      <c r="K556" s="40">
        <f t="shared" ref="K556" si="144">+J556*C556</f>
        <v>38.76</v>
      </c>
      <c r="L556" s="40"/>
      <c r="M556" s="59"/>
      <c r="N556" s="98"/>
      <c r="O556" s="65"/>
      <c r="P556" s="87"/>
      <c r="Q556" s="128"/>
      <c r="R556" s="128"/>
      <c r="S556" s="128"/>
      <c r="T556" s="87"/>
      <c r="U556" s="87"/>
      <c r="V556" s="87"/>
      <c r="W556" s="87"/>
    </row>
    <row r="557" spans="1:23" s="66" customFormat="1" ht="13.8" x14ac:dyDescent="0.25">
      <c r="A557" s="34"/>
      <c r="B557" s="39" t="s">
        <v>533</v>
      </c>
      <c r="C557" s="40">
        <v>1</v>
      </c>
      <c r="D557" s="40">
        <v>2.9</v>
      </c>
      <c r="E557" s="40"/>
      <c r="F557" s="40">
        <v>3.4</v>
      </c>
      <c r="G557" s="40"/>
      <c r="H557" s="157">
        <f t="shared" ref="H557" si="145">+F557*D557</f>
        <v>9.86</v>
      </c>
      <c r="I557" s="40"/>
      <c r="J557" s="40">
        <f t="shared" ref="J557" si="146">+H557</f>
        <v>9.86</v>
      </c>
      <c r="K557" s="40">
        <f t="shared" ref="K557" si="147">+J557*C557</f>
        <v>9.86</v>
      </c>
      <c r="L557" s="40"/>
      <c r="M557" s="59"/>
      <c r="N557" s="98"/>
      <c r="O557" s="65"/>
      <c r="P557" s="87"/>
      <c r="Q557" s="128"/>
      <c r="R557" s="128"/>
      <c r="S557" s="128"/>
      <c r="T557" s="87"/>
      <c r="U557" s="87"/>
      <c r="V557" s="87"/>
      <c r="W557" s="87"/>
    </row>
    <row r="558" spans="1:23" s="66" customFormat="1" ht="13.8" x14ac:dyDescent="0.25">
      <c r="A558" s="34"/>
      <c r="B558" s="39" t="s">
        <v>499</v>
      </c>
      <c r="C558" s="40">
        <v>1</v>
      </c>
      <c r="D558" s="40">
        <v>11.7</v>
      </c>
      <c r="E558" s="40"/>
      <c r="F558" s="40">
        <v>3.4</v>
      </c>
      <c r="G558" s="40"/>
      <c r="H558" s="157">
        <f t="shared" ref="H558" si="148">+F558*D558</f>
        <v>39.779999999999994</v>
      </c>
      <c r="I558" s="40"/>
      <c r="J558" s="40">
        <f t="shared" ref="J558" si="149">+H558</f>
        <v>39.779999999999994</v>
      </c>
      <c r="K558" s="40">
        <f t="shared" ref="K558" si="150">+J558*C558</f>
        <v>39.779999999999994</v>
      </c>
      <c r="L558" s="40"/>
      <c r="M558" s="59"/>
      <c r="N558" s="98"/>
      <c r="O558" s="65"/>
      <c r="P558" s="87"/>
      <c r="Q558" s="128"/>
      <c r="R558" s="128"/>
      <c r="S558" s="128"/>
      <c r="T558" s="87"/>
      <c r="U558" s="87"/>
      <c r="V558" s="87"/>
      <c r="W558" s="87"/>
    </row>
    <row r="559" spans="1:23" s="66" customFormat="1" ht="13.8" x14ac:dyDescent="0.25">
      <c r="A559" s="34"/>
      <c r="B559" s="39"/>
      <c r="C559" s="40"/>
      <c r="D559" s="40"/>
      <c r="E559" s="40"/>
      <c r="F559" s="40"/>
      <c r="G559" s="40"/>
      <c r="H559" s="157"/>
      <c r="I559" s="40"/>
      <c r="J559" s="40"/>
      <c r="K559" s="40"/>
      <c r="L559" s="40"/>
      <c r="M559" s="59"/>
      <c r="N559" s="98"/>
      <c r="O559" s="65"/>
      <c r="P559" s="87"/>
      <c r="Q559" s="128"/>
      <c r="R559" s="128"/>
      <c r="S559" s="128"/>
      <c r="T559" s="87"/>
      <c r="U559" s="87"/>
      <c r="V559" s="87"/>
      <c r="W559" s="87"/>
    </row>
    <row r="560" spans="1:23" s="66" customFormat="1" ht="13.8" x14ac:dyDescent="0.25">
      <c r="A560" s="34"/>
      <c r="B560" s="129" t="s">
        <v>133</v>
      </c>
      <c r="C560" s="40"/>
      <c r="D560" s="40"/>
      <c r="E560" s="40"/>
      <c r="F560" s="40"/>
      <c r="G560" s="40"/>
      <c r="H560" s="157"/>
      <c r="I560" s="40"/>
      <c r="J560" s="40"/>
      <c r="K560" s="59">
        <f>+SUM(K562:K569)</f>
        <v>38.826000000000001</v>
      </c>
      <c r="L560" s="59"/>
      <c r="M560" s="59"/>
      <c r="N560" s="98"/>
      <c r="O560" s="65"/>
      <c r="P560" s="87"/>
      <c r="Q560" s="128"/>
      <c r="R560" s="128"/>
      <c r="S560" s="128"/>
      <c r="T560" s="87"/>
      <c r="U560" s="87"/>
      <c r="V560" s="87"/>
      <c r="W560" s="87"/>
    </row>
    <row r="561" spans="1:23" s="66" customFormat="1" ht="13.8" x14ac:dyDescent="0.25">
      <c r="A561" s="34"/>
      <c r="B561" s="68" t="s">
        <v>106</v>
      </c>
      <c r="C561" s="40"/>
      <c r="D561" s="40"/>
      <c r="E561" s="40"/>
      <c r="F561" s="40"/>
      <c r="G561" s="40"/>
      <c r="H561" s="157"/>
      <c r="I561" s="40"/>
      <c r="J561" s="40"/>
      <c r="K561" s="40"/>
      <c r="L561" s="40"/>
      <c r="M561" s="59"/>
      <c r="N561" s="98"/>
      <c r="O561" s="65"/>
      <c r="P561" s="87"/>
      <c r="Q561" s="128"/>
      <c r="R561" s="128"/>
      <c r="S561" s="128"/>
      <c r="T561" s="87"/>
      <c r="U561" s="87"/>
      <c r="V561" s="87"/>
      <c r="W561" s="87"/>
    </row>
    <row r="562" spans="1:23" s="66" customFormat="1" ht="13.8" x14ac:dyDescent="0.25">
      <c r="A562" s="34"/>
      <c r="B562" s="39" t="s">
        <v>534</v>
      </c>
      <c r="C562" s="40">
        <v>1</v>
      </c>
      <c r="D562" s="40">
        <v>1.8</v>
      </c>
      <c r="E562" s="40"/>
      <c r="F562" s="40">
        <v>2.6</v>
      </c>
      <c r="G562" s="40"/>
      <c r="H562" s="157">
        <f t="shared" ref="H562:H569" si="151">+F562*D562</f>
        <v>4.6800000000000006</v>
      </c>
      <c r="I562" s="40"/>
      <c r="J562" s="40">
        <f t="shared" ref="J562:J569" si="152">+H562</f>
        <v>4.6800000000000006</v>
      </c>
      <c r="K562" s="40">
        <f t="shared" ref="K562:K569" si="153">+J562*C562</f>
        <v>4.6800000000000006</v>
      </c>
      <c r="L562" s="40"/>
      <c r="M562" s="59"/>
      <c r="N562" s="98"/>
      <c r="O562" s="65"/>
      <c r="P562" s="87"/>
      <c r="Q562" s="128"/>
      <c r="R562" s="128"/>
      <c r="S562" s="128"/>
      <c r="T562" s="87"/>
      <c r="U562" s="87"/>
      <c r="V562" s="87"/>
      <c r="W562" s="87"/>
    </row>
    <row r="563" spans="1:23" s="66" customFormat="1" ht="13.8" x14ac:dyDescent="0.25">
      <c r="A563" s="34"/>
      <c r="B563" s="39" t="s">
        <v>535</v>
      </c>
      <c r="C563" s="40">
        <v>1</v>
      </c>
      <c r="D563" s="40">
        <v>1.4</v>
      </c>
      <c r="E563" s="40"/>
      <c r="F563" s="40">
        <v>2.6</v>
      </c>
      <c r="G563" s="40"/>
      <c r="H563" s="157">
        <f t="shared" si="151"/>
        <v>3.6399999999999997</v>
      </c>
      <c r="I563" s="40"/>
      <c r="J563" s="40">
        <f t="shared" si="152"/>
        <v>3.6399999999999997</v>
      </c>
      <c r="K563" s="40">
        <f t="shared" si="153"/>
        <v>3.6399999999999997</v>
      </c>
      <c r="L563" s="40"/>
      <c r="M563" s="59"/>
      <c r="N563" s="98"/>
      <c r="O563" s="65"/>
      <c r="P563" s="87"/>
      <c r="Q563" s="128"/>
      <c r="R563" s="128"/>
      <c r="S563" s="128"/>
      <c r="T563" s="87"/>
      <c r="U563" s="87"/>
      <c r="V563" s="87"/>
      <c r="W563" s="87"/>
    </row>
    <row r="564" spans="1:23" s="66" customFormat="1" ht="13.8" x14ac:dyDescent="0.25">
      <c r="A564" s="34"/>
      <c r="B564" s="39" t="s">
        <v>572</v>
      </c>
      <c r="C564" s="40">
        <v>1</v>
      </c>
      <c r="D564" s="40">
        <v>2.9</v>
      </c>
      <c r="E564" s="40"/>
      <c r="F564" s="40">
        <v>2.1</v>
      </c>
      <c r="G564" s="40"/>
      <c r="H564" s="157">
        <f t="shared" ref="H564" si="154">+F564*D564</f>
        <v>6.09</v>
      </c>
      <c r="I564" s="40"/>
      <c r="J564" s="40">
        <f t="shared" ref="J564" si="155">+H564</f>
        <v>6.09</v>
      </c>
      <c r="K564" s="40">
        <f t="shared" ref="K564" si="156">+J564*C564</f>
        <v>6.09</v>
      </c>
      <c r="L564" s="40"/>
      <c r="M564" s="59"/>
      <c r="N564" s="98"/>
      <c r="O564" s="65"/>
      <c r="P564" s="87"/>
      <c r="Q564" s="128"/>
      <c r="R564" s="128"/>
      <c r="S564" s="128"/>
      <c r="T564" s="87"/>
      <c r="U564" s="87"/>
      <c r="V564" s="87"/>
      <c r="W564" s="87"/>
    </row>
    <row r="565" spans="1:23" s="66" customFormat="1" ht="13.8" x14ac:dyDescent="0.25">
      <c r="A565" s="34"/>
      <c r="B565" s="39" t="s">
        <v>536</v>
      </c>
      <c r="C565" s="40">
        <v>1</v>
      </c>
      <c r="D565" s="40">
        <v>0.8</v>
      </c>
      <c r="E565" s="40"/>
      <c r="F565" s="40">
        <v>2.1</v>
      </c>
      <c r="G565" s="40"/>
      <c r="H565" s="157">
        <f t="shared" si="151"/>
        <v>1.6800000000000002</v>
      </c>
      <c r="I565" s="40"/>
      <c r="J565" s="40">
        <f t="shared" si="152"/>
        <v>1.6800000000000002</v>
      </c>
      <c r="K565" s="40">
        <f t="shared" si="153"/>
        <v>1.6800000000000002</v>
      </c>
      <c r="L565" s="40"/>
      <c r="M565" s="59"/>
      <c r="N565" s="98"/>
      <c r="O565" s="65"/>
      <c r="P565" s="87"/>
      <c r="Q565" s="128"/>
      <c r="R565" s="128"/>
      <c r="S565" s="128"/>
      <c r="T565" s="87"/>
      <c r="U565" s="87"/>
      <c r="V565" s="87"/>
      <c r="W565" s="87"/>
    </row>
    <row r="566" spans="1:23" s="66" customFormat="1" ht="13.8" x14ac:dyDescent="0.25">
      <c r="A566" s="34"/>
      <c r="B566" s="39" t="s">
        <v>537</v>
      </c>
      <c r="C566" s="40">
        <v>1</v>
      </c>
      <c r="D566" s="40">
        <v>2.52</v>
      </c>
      <c r="E566" s="40"/>
      <c r="F566" s="40">
        <v>2.8</v>
      </c>
      <c r="G566" s="40"/>
      <c r="H566" s="157">
        <f t="shared" si="151"/>
        <v>7.0559999999999992</v>
      </c>
      <c r="I566" s="40"/>
      <c r="J566" s="40">
        <f t="shared" si="152"/>
        <v>7.0559999999999992</v>
      </c>
      <c r="K566" s="40">
        <f t="shared" si="153"/>
        <v>7.0559999999999992</v>
      </c>
      <c r="L566" s="40"/>
      <c r="M566" s="59"/>
      <c r="N566" s="98"/>
      <c r="O566" s="65"/>
      <c r="P566" s="87"/>
      <c r="Q566" s="128"/>
      <c r="R566" s="128"/>
      <c r="S566" s="128"/>
      <c r="T566" s="87"/>
      <c r="U566" s="87"/>
      <c r="V566" s="87"/>
      <c r="W566" s="87"/>
    </row>
    <row r="567" spans="1:23" s="66" customFormat="1" ht="13.8" x14ac:dyDescent="0.25">
      <c r="A567" s="34"/>
      <c r="B567" s="39" t="s">
        <v>538</v>
      </c>
      <c r="C567" s="40">
        <v>1</v>
      </c>
      <c r="D567" s="40">
        <v>0.8</v>
      </c>
      <c r="E567" s="40"/>
      <c r="F567" s="40">
        <v>2.1</v>
      </c>
      <c r="G567" s="40"/>
      <c r="H567" s="157">
        <f t="shared" si="151"/>
        <v>1.6800000000000002</v>
      </c>
      <c r="I567" s="40"/>
      <c r="J567" s="40">
        <f t="shared" si="152"/>
        <v>1.6800000000000002</v>
      </c>
      <c r="K567" s="40">
        <f t="shared" si="153"/>
        <v>1.6800000000000002</v>
      </c>
      <c r="L567" s="40"/>
      <c r="M567" s="59"/>
      <c r="N567" s="98"/>
      <c r="O567" s="65"/>
      <c r="P567" s="87"/>
      <c r="Q567" s="128"/>
      <c r="R567" s="128"/>
      <c r="S567" s="128"/>
      <c r="T567" s="87"/>
      <c r="U567" s="87"/>
      <c r="V567" s="87"/>
      <c r="W567" s="87"/>
    </row>
    <row r="568" spans="1:23" s="66" customFormat="1" ht="13.8" x14ac:dyDescent="0.25">
      <c r="A568" s="34"/>
      <c r="B568" s="39" t="s">
        <v>539</v>
      </c>
      <c r="C568" s="40">
        <v>1</v>
      </c>
      <c r="D568" s="40">
        <v>1.8</v>
      </c>
      <c r="E568" s="40"/>
      <c r="F568" s="40">
        <v>2.5</v>
      </c>
      <c r="G568" s="40"/>
      <c r="H568" s="157">
        <f t="shared" ref="H568" si="157">+F568*D568</f>
        <v>4.5</v>
      </c>
      <c r="I568" s="40"/>
      <c r="J568" s="40">
        <f t="shared" ref="J568" si="158">+H568</f>
        <v>4.5</v>
      </c>
      <c r="K568" s="40">
        <f t="shared" ref="K568" si="159">+J568*C568</f>
        <v>4.5</v>
      </c>
      <c r="L568" s="40"/>
      <c r="M568" s="59"/>
      <c r="N568" s="98"/>
      <c r="O568" s="65"/>
      <c r="P568" s="87"/>
      <c r="Q568" s="128"/>
      <c r="R568" s="128"/>
      <c r="S568" s="128"/>
      <c r="T568" s="87"/>
      <c r="U568" s="87"/>
      <c r="V568" s="87"/>
      <c r="W568" s="87"/>
    </row>
    <row r="569" spans="1:23" s="66" customFormat="1" ht="13.8" x14ac:dyDescent="0.25">
      <c r="A569" s="34"/>
      <c r="B569" s="39" t="s">
        <v>571</v>
      </c>
      <c r="C569" s="40">
        <v>1</v>
      </c>
      <c r="D569" s="40">
        <v>3.8</v>
      </c>
      <c r="E569" s="40"/>
      <c r="F569" s="40">
        <v>2.5</v>
      </c>
      <c r="G569" s="40"/>
      <c r="H569" s="157">
        <f t="shared" si="151"/>
        <v>9.5</v>
      </c>
      <c r="I569" s="40"/>
      <c r="J569" s="40">
        <f t="shared" si="152"/>
        <v>9.5</v>
      </c>
      <c r="K569" s="40">
        <f t="shared" si="153"/>
        <v>9.5</v>
      </c>
      <c r="L569" s="40"/>
      <c r="M569" s="59"/>
      <c r="N569" s="98"/>
      <c r="O569" s="65"/>
      <c r="P569" s="87"/>
      <c r="Q569" s="128"/>
      <c r="R569" s="128"/>
      <c r="S569" s="128"/>
      <c r="T569" s="87"/>
      <c r="U569" s="87"/>
      <c r="V569" s="87"/>
      <c r="W569" s="87"/>
    </row>
    <row r="570" spans="1:23" s="66" customFormat="1" ht="13.8" x14ac:dyDescent="0.25">
      <c r="A570" s="34"/>
      <c r="B570" s="39"/>
      <c r="C570" s="40"/>
      <c r="D570" s="40"/>
      <c r="E570" s="40"/>
      <c r="F570" s="40"/>
      <c r="G570" s="40"/>
      <c r="H570" s="157"/>
      <c r="I570" s="40"/>
      <c r="J570" s="40"/>
      <c r="K570" s="40"/>
      <c r="L570" s="40"/>
      <c r="M570" s="59"/>
      <c r="N570" s="98"/>
      <c r="O570" s="65"/>
      <c r="P570" s="87"/>
      <c r="Q570" s="128"/>
      <c r="R570" s="128"/>
      <c r="S570" s="128"/>
      <c r="T570" s="87"/>
      <c r="U570" s="87"/>
      <c r="V570" s="87"/>
      <c r="W570" s="87"/>
    </row>
    <row r="571" spans="1:23" s="33" customFormat="1" ht="13.8" x14ac:dyDescent="0.25">
      <c r="A571" s="34"/>
      <c r="B571" s="160" t="s">
        <v>107</v>
      </c>
      <c r="C571" s="40"/>
      <c r="D571" s="40"/>
      <c r="E571" s="40"/>
      <c r="F571" s="40"/>
      <c r="G571" s="40"/>
      <c r="H571" s="157"/>
      <c r="I571" s="40"/>
      <c r="J571" s="40"/>
      <c r="K571" s="158">
        <f>+SUM(K572:K580)</f>
        <v>233.73999999999998</v>
      </c>
      <c r="L571" s="158">
        <f>+K571-K582</f>
        <v>216.83999999999997</v>
      </c>
      <c r="M571" s="59"/>
      <c r="N571" s="159"/>
      <c r="O571" s="32"/>
      <c r="P571" s="85"/>
      <c r="Q571" s="126"/>
      <c r="R571" s="126"/>
      <c r="S571" s="126"/>
      <c r="T571" s="85"/>
      <c r="U571" s="85"/>
      <c r="V571" s="85"/>
      <c r="W571" s="85"/>
    </row>
    <row r="572" spans="1:23" s="66" customFormat="1" ht="13.8" x14ac:dyDescent="0.25">
      <c r="A572" s="34"/>
      <c r="B572" s="39" t="s">
        <v>501</v>
      </c>
      <c r="C572" s="40">
        <v>1</v>
      </c>
      <c r="D572" s="40">
        <v>14.1</v>
      </c>
      <c r="E572" s="40"/>
      <c r="F572" s="40">
        <v>2.9</v>
      </c>
      <c r="G572" s="40"/>
      <c r="H572" s="157">
        <f t="shared" ref="H572" si="160">+F572*D572</f>
        <v>40.89</v>
      </c>
      <c r="I572" s="40"/>
      <c r="J572" s="40">
        <f t="shared" ref="J572" si="161">+H572</f>
        <v>40.89</v>
      </c>
      <c r="K572" s="40">
        <f t="shared" ref="K572" si="162">+J572*C572</f>
        <v>40.89</v>
      </c>
      <c r="L572" s="40"/>
      <c r="M572" s="59"/>
      <c r="N572" s="98"/>
      <c r="O572" s="65"/>
      <c r="P572" s="87"/>
      <c r="Q572" s="128"/>
      <c r="R572" s="128"/>
      <c r="S572" s="128"/>
      <c r="T572" s="87"/>
      <c r="U572" s="87"/>
      <c r="V572" s="87"/>
      <c r="W572" s="87"/>
    </row>
    <row r="573" spans="1:23" s="66" customFormat="1" ht="13.8" x14ac:dyDescent="0.25">
      <c r="A573" s="34"/>
      <c r="B573" s="39" t="s">
        <v>209</v>
      </c>
      <c r="C573" s="40">
        <v>1</v>
      </c>
      <c r="D573" s="40">
        <v>8.4</v>
      </c>
      <c r="E573" s="40"/>
      <c r="F573" s="40">
        <v>2.9</v>
      </c>
      <c r="G573" s="40"/>
      <c r="H573" s="157">
        <f t="shared" ref="H573:H580" si="163">+F573*D573</f>
        <v>24.36</v>
      </c>
      <c r="I573" s="40"/>
      <c r="J573" s="40">
        <f t="shared" ref="J573:J580" si="164">+H573</f>
        <v>24.36</v>
      </c>
      <c r="K573" s="40">
        <f t="shared" ref="K573:K580" si="165">+J573*C573</f>
        <v>24.36</v>
      </c>
      <c r="L573" s="40"/>
      <c r="M573" s="59"/>
      <c r="N573" s="98"/>
      <c r="O573" s="65"/>
      <c r="P573" s="87"/>
      <c r="Q573" s="128"/>
      <c r="R573" s="128"/>
      <c r="S573" s="128"/>
      <c r="T573" s="87"/>
      <c r="U573" s="87"/>
      <c r="V573" s="87"/>
      <c r="W573" s="87"/>
    </row>
    <row r="574" spans="1:23" s="66" customFormat="1" ht="13.8" x14ac:dyDescent="0.25">
      <c r="A574" s="34"/>
      <c r="B574" s="39" t="s">
        <v>504</v>
      </c>
      <c r="C574" s="40">
        <v>1</v>
      </c>
      <c r="D574" s="40">
        <v>4.7</v>
      </c>
      <c r="E574" s="40"/>
      <c r="F574" s="40">
        <v>2.9</v>
      </c>
      <c r="G574" s="40"/>
      <c r="H574" s="157">
        <f t="shared" si="163"/>
        <v>13.63</v>
      </c>
      <c r="I574" s="40"/>
      <c r="J574" s="40">
        <f t="shared" si="164"/>
        <v>13.63</v>
      </c>
      <c r="K574" s="40">
        <f t="shared" si="165"/>
        <v>13.63</v>
      </c>
      <c r="L574" s="40"/>
      <c r="M574" s="59"/>
      <c r="N574" s="98"/>
      <c r="O574" s="65"/>
      <c r="P574" s="87"/>
      <c r="Q574" s="128"/>
      <c r="R574" s="128"/>
      <c r="S574" s="128"/>
      <c r="T574" s="87"/>
      <c r="U574" s="87"/>
      <c r="V574" s="87"/>
      <c r="W574" s="87"/>
    </row>
    <row r="575" spans="1:23" s="66" customFormat="1" ht="13.8" x14ac:dyDescent="0.25">
      <c r="A575" s="34"/>
      <c r="B575" s="39" t="s">
        <v>504</v>
      </c>
      <c r="C575" s="40">
        <v>1</v>
      </c>
      <c r="D575" s="40">
        <v>3.6</v>
      </c>
      <c r="E575" s="40"/>
      <c r="F575" s="40">
        <v>2.9</v>
      </c>
      <c r="G575" s="40"/>
      <c r="H575" s="157">
        <f t="shared" ref="H575" si="166">+F575*D575</f>
        <v>10.44</v>
      </c>
      <c r="I575" s="40"/>
      <c r="J575" s="40">
        <f t="shared" ref="J575" si="167">+H575</f>
        <v>10.44</v>
      </c>
      <c r="K575" s="40">
        <f t="shared" ref="K575" si="168">+J575*C575</f>
        <v>10.44</v>
      </c>
      <c r="L575" s="40"/>
      <c r="M575" s="59"/>
      <c r="N575" s="98"/>
      <c r="O575" s="65"/>
      <c r="P575" s="87"/>
      <c r="Q575" s="128"/>
      <c r="R575" s="128"/>
      <c r="S575" s="128"/>
      <c r="T575" s="87"/>
      <c r="U575" s="87"/>
      <c r="V575" s="87"/>
      <c r="W575" s="87"/>
    </row>
    <row r="576" spans="1:23" s="66" customFormat="1" ht="13.8" x14ac:dyDescent="0.25">
      <c r="A576" s="34"/>
      <c r="B576" s="39" t="s">
        <v>505</v>
      </c>
      <c r="C576" s="40">
        <v>1</v>
      </c>
      <c r="D576" s="40">
        <v>15.4</v>
      </c>
      <c r="E576" s="40"/>
      <c r="F576" s="40">
        <v>2.9</v>
      </c>
      <c r="G576" s="40"/>
      <c r="H576" s="157">
        <f t="shared" ref="H576:H577" si="169">+F576*D576</f>
        <v>44.66</v>
      </c>
      <c r="I576" s="40"/>
      <c r="J576" s="40">
        <f t="shared" ref="J576:J577" si="170">+H576</f>
        <v>44.66</v>
      </c>
      <c r="K576" s="40">
        <f t="shared" ref="K576:K577" si="171">+J576*C576</f>
        <v>44.66</v>
      </c>
      <c r="L576" s="40"/>
      <c r="M576" s="59"/>
      <c r="N576" s="98"/>
      <c r="O576" s="65"/>
      <c r="P576" s="87"/>
      <c r="Q576" s="128"/>
      <c r="R576" s="128"/>
      <c r="S576" s="128"/>
      <c r="T576" s="87"/>
      <c r="U576" s="87"/>
      <c r="V576" s="87"/>
      <c r="W576" s="87"/>
    </row>
    <row r="577" spans="1:23" s="66" customFormat="1" ht="13.8" x14ac:dyDescent="0.25">
      <c r="A577" s="34"/>
      <c r="B577" s="39" t="s">
        <v>544</v>
      </c>
      <c r="C577" s="40">
        <v>1</v>
      </c>
      <c r="D577" s="40">
        <v>14.6</v>
      </c>
      <c r="E577" s="40"/>
      <c r="F577" s="40">
        <v>2.9</v>
      </c>
      <c r="G577" s="40"/>
      <c r="H577" s="157">
        <f t="shared" si="169"/>
        <v>42.339999999999996</v>
      </c>
      <c r="I577" s="40"/>
      <c r="J577" s="40">
        <f t="shared" si="170"/>
        <v>42.339999999999996</v>
      </c>
      <c r="K577" s="40">
        <f t="shared" si="171"/>
        <v>42.339999999999996</v>
      </c>
      <c r="L577" s="40"/>
      <c r="M577" s="59"/>
      <c r="N577" s="98"/>
      <c r="O577" s="65"/>
      <c r="P577" s="87"/>
      <c r="Q577" s="128"/>
      <c r="R577" s="128"/>
      <c r="S577" s="128"/>
      <c r="T577" s="87"/>
      <c r="U577" s="87"/>
      <c r="V577" s="87"/>
      <c r="W577" s="87"/>
    </row>
    <row r="578" spans="1:23" s="66" customFormat="1" ht="13.8" x14ac:dyDescent="0.25">
      <c r="A578" s="34"/>
      <c r="B578" s="39" t="s">
        <v>531</v>
      </c>
      <c r="C578" s="40">
        <v>1</v>
      </c>
      <c r="D578" s="40">
        <v>2.1</v>
      </c>
      <c r="E578" s="40"/>
      <c r="F578" s="40">
        <v>2.9</v>
      </c>
      <c r="G578" s="40"/>
      <c r="H578" s="157">
        <f t="shared" si="163"/>
        <v>6.09</v>
      </c>
      <c r="I578" s="40"/>
      <c r="J578" s="40">
        <f t="shared" si="164"/>
        <v>6.09</v>
      </c>
      <c r="K578" s="40">
        <f t="shared" si="165"/>
        <v>6.09</v>
      </c>
      <c r="L578" s="40"/>
      <c r="M578" s="59"/>
      <c r="N578" s="98"/>
      <c r="O578" s="65"/>
      <c r="P578" s="87"/>
      <c r="Q578" s="128"/>
      <c r="R578" s="128"/>
      <c r="S578" s="128"/>
      <c r="T578" s="87"/>
      <c r="U578" s="87"/>
      <c r="V578" s="87"/>
      <c r="W578" s="87"/>
    </row>
    <row r="579" spans="1:23" s="66" customFormat="1" ht="13.8" x14ac:dyDescent="0.25">
      <c r="A579" s="34"/>
      <c r="B579" s="39" t="s">
        <v>545</v>
      </c>
      <c r="C579" s="40">
        <v>3</v>
      </c>
      <c r="D579" s="40">
        <v>2.9</v>
      </c>
      <c r="E579" s="40"/>
      <c r="F579" s="40">
        <v>2.9</v>
      </c>
      <c r="G579" s="40"/>
      <c r="H579" s="157">
        <f t="shared" si="163"/>
        <v>8.41</v>
      </c>
      <c r="I579" s="40"/>
      <c r="J579" s="40">
        <f t="shared" si="164"/>
        <v>8.41</v>
      </c>
      <c r="K579" s="40">
        <f t="shared" si="165"/>
        <v>25.23</v>
      </c>
      <c r="L579" s="40"/>
      <c r="M579" s="59"/>
      <c r="N579" s="98"/>
      <c r="O579" s="65"/>
      <c r="P579" s="87"/>
      <c r="Q579" s="128"/>
      <c r="R579" s="128"/>
      <c r="S579" s="128"/>
      <c r="T579" s="87"/>
      <c r="U579" s="87"/>
      <c r="V579" s="87"/>
      <c r="W579" s="87"/>
    </row>
    <row r="580" spans="1:23" s="66" customFormat="1" ht="13.8" x14ac:dyDescent="0.25">
      <c r="A580" s="34"/>
      <c r="B580" s="39" t="s">
        <v>546</v>
      </c>
      <c r="C580" s="40">
        <v>1</v>
      </c>
      <c r="D580" s="40">
        <v>9</v>
      </c>
      <c r="E580" s="40"/>
      <c r="F580" s="40">
        <v>2.9</v>
      </c>
      <c r="G580" s="40"/>
      <c r="H580" s="157">
        <f t="shared" si="163"/>
        <v>26.099999999999998</v>
      </c>
      <c r="I580" s="40"/>
      <c r="J580" s="40">
        <f t="shared" si="164"/>
        <v>26.099999999999998</v>
      </c>
      <c r="K580" s="40">
        <f t="shared" si="165"/>
        <v>26.099999999999998</v>
      </c>
      <c r="L580" s="40"/>
      <c r="M580" s="59"/>
      <c r="N580" s="98"/>
      <c r="O580" s="65"/>
      <c r="P580" s="87"/>
      <c r="Q580" s="128"/>
      <c r="R580" s="128"/>
      <c r="S580" s="128"/>
      <c r="T580" s="87"/>
      <c r="U580" s="87"/>
      <c r="V580" s="87"/>
      <c r="W580" s="87"/>
    </row>
    <row r="581" spans="1:23" s="66" customFormat="1" ht="13.8" x14ac:dyDescent="0.25">
      <c r="A581" s="34"/>
      <c r="B581" s="39"/>
      <c r="C581" s="40"/>
      <c r="D581" s="40"/>
      <c r="E581" s="40"/>
      <c r="F581" s="40"/>
      <c r="G581" s="40"/>
      <c r="H581" s="157"/>
      <c r="I581" s="40"/>
      <c r="J581" s="40"/>
      <c r="K581" s="40"/>
      <c r="L581" s="40"/>
      <c r="M581" s="59"/>
      <c r="N581" s="98"/>
      <c r="O581" s="65"/>
      <c r="P581" s="87"/>
      <c r="Q581" s="128"/>
      <c r="R581" s="128"/>
      <c r="S581" s="128"/>
      <c r="T581" s="87"/>
      <c r="U581" s="87"/>
      <c r="V581" s="87"/>
      <c r="W581" s="87"/>
    </row>
    <row r="582" spans="1:23" s="66" customFormat="1" ht="13.8" x14ac:dyDescent="0.25">
      <c r="A582" s="34"/>
      <c r="B582" s="129" t="s">
        <v>133</v>
      </c>
      <c r="C582" s="40"/>
      <c r="D582" s="40"/>
      <c r="E582" s="40"/>
      <c r="F582" s="40" t="s">
        <v>525</v>
      </c>
      <c r="G582" s="40"/>
      <c r="H582" s="157"/>
      <c r="I582" s="40"/>
      <c r="J582" s="40"/>
      <c r="K582" s="59">
        <f>+SUM(K584:K589)</f>
        <v>16.899999999999999</v>
      </c>
      <c r="L582" s="59"/>
      <c r="M582" s="59"/>
      <c r="N582" s="98"/>
      <c r="O582" s="65"/>
      <c r="P582" s="87"/>
      <c r="Q582" s="128"/>
      <c r="R582" s="128"/>
      <c r="S582" s="128"/>
      <c r="T582" s="87"/>
      <c r="U582" s="87"/>
      <c r="V582" s="87"/>
      <c r="W582" s="87"/>
    </row>
    <row r="583" spans="1:23" s="66" customFormat="1" ht="13.8" x14ac:dyDescent="0.25">
      <c r="A583" s="34"/>
      <c r="B583" s="68" t="s">
        <v>107</v>
      </c>
      <c r="C583" s="40"/>
      <c r="D583" s="40"/>
      <c r="E583" s="40"/>
      <c r="F583" s="40"/>
      <c r="G583" s="40"/>
      <c r="H583" s="157"/>
      <c r="I583" s="40"/>
      <c r="J583" s="40"/>
      <c r="K583" s="40"/>
      <c r="L583" s="40"/>
      <c r="M583" s="59"/>
      <c r="N583" s="98"/>
      <c r="O583" s="65"/>
      <c r="P583" s="87"/>
      <c r="Q583" s="128"/>
      <c r="R583" s="128"/>
      <c r="S583" s="128"/>
      <c r="T583" s="87"/>
      <c r="U583" s="87"/>
      <c r="V583" s="87"/>
      <c r="W583" s="87"/>
    </row>
    <row r="584" spans="1:23" s="66" customFormat="1" ht="13.8" x14ac:dyDescent="0.25">
      <c r="A584" s="34"/>
      <c r="B584" s="39" t="s">
        <v>547</v>
      </c>
      <c r="C584" s="40">
        <v>2</v>
      </c>
      <c r="D584" s="40">
        <v>0.4</v>
      </c>
      <c r="E584" s="40"/>
      <c r="F584" s="40">
        <v>1.45</v>
      </c>
      <c r="G584" s="40"/>
      <c r="H584" s="157">
        <f t="shared" ref="H584:H589" si="172">+F584*D584</f>
        <v>0.57999999999999996</v>
      </c>
      <c r="I584" s="40"/>
      <c r="J584" s="40">
        <f t="shared" ref="J584:J589" si="173">+H584</f>
        <v>0.57999999999999996</v>
      </c>
      <c r="K584" s="40">
        <f t="shared" ref="K584:K589" si="174">+J584*C584</f>
        <v>1.1599999999999999</v>
      </c>
      <c r="L584" s="40"/>
      <c r="M584" s="59"/>
      <c r="N584" s="98"/>
      <c r="O584" s="65"/>
      <c r="P584" s="87"/>
      <c r="Q584" s="128"/>
      <c r="R584" s="128"/>
      <c r="S584" s="128"/>
      <c r="T584" s="87"/>
      <c r="U584" s="87"/>
      <c r="V584" s="87"/>
      <c r="W584" s="87"/>
    </row>
    <row r="585" spans="1:23" s="66" customFormat="1" ht="13.8" x14ac:dyDescent="0.25">
      <c r="A585" s="34"/>
      <c r="B585" s="39" t="s">
        <v>548</v>
      </c>
      <c r="C585" s="40">
        <v>3</v>
      </c>
      <c r="D585" s="40">
        <v>0.4</v>
      </c>
      <c r="E585" s="40"/>
      <c r="F585" s="40">
        <v>1.5</v>
      </c>
      <c r="G585" s="40"/>
      <c r="H585" s="157">
        <f t="shared" si="172"/>
        <v>0.60000000000000009</v>
      </c>
      <c r="I585" s="40"/>
      <c r="J585" s="40">
        <f t="shared" si="173"/>
        <v>0.60000000000000009</v>
      </c>
      <c r="K585" s="40">
        <f t="shared" si="174"/>
        <v>1.8000000000000003</v>
      </c>
      <c r="L585" s="40"/>
      <c r="M585" s="59"/>
      <c r="N585" s="98"/>
      <c r="O585" s="65"/>
      <c r="P585" s="87"/>
      <c r="Q585" s="128"/>
      <c r="R585" s="128"/>
      <c r="S585" s="128"/>
      <c r="T585" s="87"/>
      <c r="U585" s="87"/>
      <c r="V585" s="87"/>
      <c r="W585" s="87"/>
    </row>
    <row r="586" spans="1:23" s="66" customFormat="1" ht="13.8" x14ac:dyDescent="0.25">
      <c r="A586" s="34"/>
      <c r="B586" s="39" t="s">
        <v>549</v>
      </c>
      <c r="C586" s="40">
        <v>1</v>
      </c>
      <c r="D586" s="40">
        <v>3.6</v>
      </c>
      <c r="E586" s="40"/>
      <c r="F586" s="40">
        <v>1.1000000000000001</v>
      </c>
      <c r="G586" s="40"/>
      <c r="H586" s="157">
        <f t="shared" si="172"/>
        <v>3.9600000000000004</v>
      </c>
      <c r="I586" s="40"/>
      <c r="J586" s="40">
        <f t="shared" si="173"/>
        <v>3.9600000000000004</v>
      </c>
      <c r="K586" s="40">
        <f t="shared" si="174"/>
        <v>3.9600000000000004</v>
      </c>
      <c r="L586" s="40"/>
      <c r="M586" s="59"/>
      <c r="N586" s="98"/>
      <c r="O586" s="65"/>
      <c r="P586" s="87"/>
      <c r="Q586" s="128"/>
      <c r="R586" s="128"/>
      <c r="S586" s="128"/>
      <c r="T586" s="87"/>
      <c r="U586" s="87"/>
      <c r="V586" s="87"/>
      <c r="W586" s="87"/>
    </row>
    <row r="587" spans="1:23" s="66" customFormat="1" ht="13.8" x14ac:dyDescent="0.25">
      <c r="A587" s="34"/>
      <c r="B587" s="39" t="s">
        <v>550</v>
      </c>
      <c r="C587" s="40">
        <v>1</v>
      </c>
      <c r="D587" s="40">
        <v>2.2000000000000002</v>
      </c>
      <c r="E587" s="40"/>
      <c r="F587" s="40">
        <v>1.1000000000000001</v>
      </c>
      <c r="G587" s="40"/>
      <c r="H587" s="157">
        <f t="shared" si="172"/>
        <v>2.4200000000000004</v>
      </c>
      <c r="I587" s="40"/>
      <c r="J587" s="40">
        <f t="shared" si="173"/>
        <v>2.4200000000000004</v>
      </c>
      <c r="K587" s="40">
        <f t="shared" si="174"/>
        <v>2.4200000000000004</v>
      </c>
      <c r="L587" s="40"/>
      <c r="M587" s="59"/>
      <c r="N587" s="98"/>
      <c r="O587" s="65"/>
      <c r="P587" s="87"/>
      <c r="Q587" s="128"/>
      <c r="R587" s="128"/>
      <c r="S587" s="128"/>
      <c r="T587" s="87"/>
      <c r="U587" s="87"/>
      <c r="V587" s="87"/>
      <c r="W587" s="87"/>
    </row>
    <row r="588" spans="1:23" s="66" customFormat="1" ht="13.8" x14ac:dyDescent="0.25">
      <c r="A588" s="34"/>
      <c r="B588" s="39" t="s">
        <v>551</v>
      </c>
      <c r="C588" s="40">
        <v>2</v>
      </c>
      <c r="D588" s="40">
        <v>0.8</v>
      </c>
      <c r="E588" s="40"/>
      <c r="F588" s="40">
        <v>2.1</v>
      </c>
      <c r="G588" s="40"/>
      <c r="H588" s="157">
        <f t="shared" si="172"/>
        <v>1.6800000000000002</v>
      </c>
      <c r="I588" s="40"/>
      <c r="J588" s="40">
        <f t="shared" si="173"/>
        <v>1.6800000000000002</v>
      </c>
      <c r="K588" s="40">
        <f t="shared" si="174"/>
        <v>3.3600000000000003</v>
      </c>
      <c r="L588" s="40"/>
      <c r="M588" s="59"/>
      <c r="N588" s="98"/>
      <c r="O588" s="65"/>
      <c r="P588" s="87"/>
      <c r="Q588" s="128"/>
      <c r="R588" s="128"/>
      <c r="S588" s="128"/>
      <c r="T588" s="87"/>
      <c r="U588" s="87"/>
      <c r="V588" s="87"/>
      <c r="W588" s="87"/>
    </row>
    <row r="589" spans="1:23" s="66" customFormat="1" ht="13.8" x14ac:dyDescent="0.25">
      <c r="A589" s="34"/>
      <c r="B589" s="39" t="s">
        <v>552</v>
      </c>
      <c r="C589" s="40">
        <v>7</v>
      </c>
      <c r="D589" s="40">
        <v>0.4</v>
      </c>
      <c r="E589" s="40"/>
      <c r="F589" s="40">
        <v>1.5</v>
      </c>
      <c r="G589" s="40"/>
      <c r="H589" s="157">
        <f t="shared" si="172"/>
        <v>0.60000000000000009</v>
      </c>
      <c r="I589" s="40"/>
      <c r="J589" s="40">
        <f t="shared" si="173"/>
        <v>0.60000000000000009</v>
      </c>
      <c r="K589" s="40">
        <f t="shared" si="174"/>
        <v>4.2000000000000011</v>
      </c>
      <c r="L589" s="40"/>
      <c r="M589" s="59"/>
      <c r="N589" s="98"/>
      <c r="O589" s="65"/>
      <c r="P589" s="87"/>
      <c r="Q589" s="128"/>
      <c r="R589" s="128"/>
      <c r="S589" s="128"/>
      <c r="T589" s="87"/>
      <c r="U589" s="87"/>
      <c r="V589" s="87"/>
      <c r="W589" s="87"/>
    </row>
    <row r="590" spans="1:23" s="66" customFormat="1" ht="13.8" x14ac:dyDescent="0.25">
      <c r="A590" s="34"/>
      <c r="B590" s="39"/>
      <c r="C590" s="40"/>
      <c r="D590" s="40"/>
      <c r="E590" s="40"/>
      <c r="F590" s="40"/>
      <c r="G590" s="40"/>
      <c r="H590" s="157"/>
      <c r="I590" s="40"/>
      <c r="J590" s="40"/>
      <c r="K590" s="40"/>
      <c r="L590" s="40"/>
      <c r="M590" s="59"/>
      <c r="N590" s="98"/>
      <c r="O590" s="65"/>
      <c r="P590" s="87"/>
      <c r="Q590" s="128"/>
      <c r="R590" s="128"/>
      <c r="S590" s="128"/>
      <c r="T590" s="87"/>
      <c r="U590" s="87"/>
      <c r="V590" s="87"/>
      <c r="W590" s="87"/>
    </row>
    <row r="591" spans="1:23" s="33" customFormat="1" ht="13.8" x14ac:dyDescent="0.25">
      <c r="A591" s="34"/>
      <c r="B591" s="160" t="s">
        <v>204</v>
      </c>
      <c r="C591" s="40"/>
      <c r="D591" s="40"/>
      <c r="E591" s="40"/>
      <c r="F591" s="40"/>
      <c r="G591" s="40"/>
      <c r="H591" s="157"/>
      <c r="I591" s="40"/>
      <c r="J591" s="40"/>
      <c r="K591" s="158">
        <f>+SUM(K592:K600)</f>
        <v>231.99999999999997</v>
      </c>
      <c r="L591" s="158">
        <f>+K591-K602</f>
        <v>202.39</v>
      </c>
      <c r="M591" s="59"/>
      <c r="N591" s="159"/>
      <c r="O591" s="32"/>
      <c r="P591" s="85"/>
      <c r="Q591" s="126"/>
      <c r="R591" s="126"/>
      <c r="S591" s="126"/>
      <c r="T591" s="85"/>
      <c r="U591" s="85"/>
      <c r="V591" s="85"/>
      <c r="W591" s="85"/>
    </row>
    <row r="592" spans="1:23" s="66" customFormat="1" ht="13.8" x14ac:dyDescent="0.25">
      <c r="A592" s="34"/>
      <c r="B592" s="39" t="s">
        <v>501</v>
      </c>
      <c r="C592" s="40">
        <v>1</v>
      </c>
      <c r="D592" s="40">
        <v>14.1</v>
      </c>
      <c r="E592" s="40"/>
      <c r="F592" s="40">
        <v>2.9</v>
      </c>
      <c r="G592" s="40"/>
      <c r="H592" s="157">
        <f t="shared" ref="H592:H600" si="175">+F592*D592</f>
        <v>40.89</v>
      </c>
      <c r="I592" s="40"/>
      <c r="J592" s="40">
        <f t="shared" ref="J592:J600" si="176">+H592</f>
        <v>40.89</v>
      </c>
      <c r="K592" s="40">
        <f t="shared" ref="K592:K600" si="177">+J592*C592</f>
        <v>40.89</v>
      </c>
      <c r="L592" s="40"/>
      <c r="M592" s="59"/>
      <c r="N592" s="98"/>
      <c r="O592" s="65"/>
      <c r="P592" s="87"/>
      <c r="Q592" s="128"/>
      <c r="R592" s="128"/>
      <c r="S592" s="128"/>
      <c r="T592" s="87"/>
      <c r="U592" s="87"/>
      <c r="V592" s="87"/>
      <c r="W592" s="87"/>
    </row>
    <row r="593" spans="1:23" s="66" customFormat="1" ht="13.8" x14ac:dyDescent="0.25">
      <c r="A593" s="34"/>
      <c r="B593" s="39" t="s">
        <v>209</v>
      </c>
      <c r="C593" s="40">
        <v>1</v>
      </c>
      <c r="D593" s="40">
        <v>8.4</v>
      </c>
      <c r="E593" s="40"/>
      <c r="F593" s="40">
        <v>2.9</v>
      </c>
      <c r="G593" s="40"/>
      <c r="H593" s="157">
        <f t="shared" si="175"/>
        <v>24.36</v>
      </c>
      <c r="I593" s="40"/>
      <c r="J593" s="40">
        <f t="shared" si="176"/>
        <v>24.36</v>
      </c>
      <c r="K593" s="40">
        <f t="shared" si="177"/>
        <v>24.36</v>
      </c>
      <c r="L593" s="40"/>
      <c r="M593" s="59"/>
      <c r="N593" s="98"/>
      <c r="O593" s="65"/>
      <c r="P593" s="87"/>
      <c r="Q593" s="128"/>
      <c r="R593" s="128"/>
      <c r="S593" s="128"/>
      <c r="T593" s="87"/>
      <c r="U593" s="87"/>
      <c r="V593" s="87"/>
      <c r="W593" s="87"/>
    </row>
    <row r="594" spans="1:23" s="66" customFormat="1" ht="13.8" x14ac:dyDescent="0.25">
      <c r="A594" s="34"/>
      <c r="B594" s="39" t="s">
        <v>503</v>
      </c>
      <c r="C594" s="40">
        <v>1</v>
      </c>
      <c r="D594" s="40">
        <v>7</v>
      </c>
      <c r="E594" s="40"/>
      <c r="F594" s="40">
        <v>2.9</v>
      </c>
      <c r="G594" s="40"/>
      <c r="H594" s="157">
        <f t="shared" si="175"/>
        <v>20.3</v>
      </c>
      <c r="I594" s="40"/>
      <c r="J594" s="40">
        <f t="shared" si="176"/>
        <v>20.3</v>
      </c>
      <c r="K594" s="40">
        <f t="shared" si="177"/>
        <v>20.3</v>
      </c>
      <c r="L594" s="40"/>
      <c r="M594" s="59"/>
      <c r="N594" s="98"/>
      <c r="O594" s="65"/>
      <c r="P594" s="87"/>
      <c r="Q594" s="128"/>
      <c r="R594" s="128"/>
      <c r="S594" s="128"/>
      <c r="T594" s="87"/>
      <c r="U594" s="87"/>
      <c r="V594" s="87"/>
      <c r="W594" s="87"/>
    </row>
    <row r="595" spans="1:23" s="66" customFormat="1" ht="13.8" x14ac:dyDescent="0.25">
      <c r="A595" s="34"/>
      <c r="B595" s="39" t="s">
        <v>504</v>
      </c>
      <c r="C595" s="40">
        <v>1</v>
      </c>
      <c r="D595" s="40">
        <v>3.6</v>
      </c>
      <c r="E595" s="40"/>
      <c r="F595" s="40">
        <v>2.9</v>
      </c>
      <c r="G595" s="40"/>
      <c r="H595" s="157">
        <f t="shared" si="175"/>
        <v>10.44</v>
      </c>
      <c r="I595" s="40"/>
      <c r="J595" s="40">
        <f t="shared" si="176"/>
        <v>10.44</v>
      </c>
      <c r="K595" s="40">
        <f t="shared" si="177"/>
        <v>10.44</v>
      </c>
      <c r="L595" s="40"/>
      <c r="M595" s="59"/>
      <c r="N595" s="98"/>
      <c r="O595" s="65"/>
      <c r="P595" s="87"/>
      <c r="Q595" s="128"/>
      <c r="R595" s="128"/>
      <c r="S595" s="128"/>
      <c r="T595" s="87"/>
      <c r="U595" s="87"/>
      <c r="V595" s="87"/>
      <c r="W595" s="87"/>
    </row>
    <row r="596" spans="1:23" s="66" customFormat="1" ht="13.8" x14ac:dyDescent="0.25">
      <c r="A596" s="34"/>
      <c r="B596" s="39" t="s">
        <v>505</v>
      </c>
      <c r="C596" s="40">
        <v>1</v>
      </c>
      <c r="D596" s="40">
        <v>15.4</v>
      </c>
      <c r="E596" s="40"/>
      <c r="F596" s="40">
        <v>2.9</v>
      </c>
      <c r="G596" s="40"/>
      <c r="H596" s="157">
        <f t="shared" si="175"/>
        <v>44.66</v>
      </c>
      <c r="I596" s="40"/>
      <c r="J596" s="40">
        <f t="shared" si="176"/>
        <v>44.66</v>
      </c>
      <c r="K596" s="40">
        <f t="shared" si="177"/>
        <v>44.66</v>
      </c>
      <c r="L596" s="40"/>
      <c r="M596" s="59"/>
      <c r="N596" s="98"/>
      <c r="O596" s="65"/>
      <c r="P596" s="87"/>
      <c r="Q596" s="128"/>
      <c r="R596" s="128"/>
      <c r="S596" s="128"/>
      <c r="T596" s="87"/>
      <c r="U596" s="87"/>
      <c r="V596" s="87"/>
      <c r="W596" s="87"/>
    </row>
    <row r="597" spans="1:23" s="66" customFormat="1" ht="13.8" x14ac:dyDescent="0.25">
      <c r="A597" s="34"/>
      <c r="B597" s="39" t="s">
        <v>544</v>
      </c>
      <c r="C597" s="40">
        <v>1</v>
      </c>
      <c r="D597" s="40">
        <v>14.6</v>
      </c>
      <c r="E597" s="40"/>
      <c r="F597" s="40">
        <v>2.9</v>
      </c>
      <c r="G597" s="40"/>
      <c r="H597" s="157">
        <f t="shared" si="175"/>
        <v>42.339999999999996</v>
      </c>
      <c r="I597" s="40"/>
      <c r="J597" s="40">
        <f t="shared" si="176"/>
        <v>42.339999999999996</v>
      </c>
      <c r="K597" s="40">
        <f t="shared" si="177"/>
        <v>42.339999999999996</v>
      </c>
      <c r="L597" s="40"/>
      <c r="M597" s="59"/>
      <c r="N597" s="98"/>
      <c r="O597" s="65"/>
      <c r="P597" s="87"/>
      <c r="Q597" s="128"/>
      <c r="R597" s="128"/>
      <c r="S597" s="128"/>
      <c r="T597" s="87"/>
      <c r="U597" s="87"/>
      <c r="V597" s="87"/>
      <c r="W597" s="87"/>
    </row>
    <row r="598" spans="1:23" s="66" customFormat="1" ht="13.8" x14ac:dyDescent="0.25">
      <c r="A598" s="34"/>
      <c r="B598" s="39" t="s">
        <v>531</v>
      </c>
      <c r="C598" s="40">
        <v>1</v>
      </c>
      <c r="D598" s="40">
        <v>2.1</v>
      </c>
      <c r="E598" s="40"/>
      <c r="F598" s="40">
        <v>2.9</v>
      </c>
      <c r="G598" s="40"/>
      <c r="H598" s="157">
        <f t="shared" si="175"/>
        <v>6.09</v>
      </c>
      <c r="I598" s="40"/>
      <c r="J598" s="40">
        <f t="shared" si="176"/>
        <v>6.09</v>
      </c>
      <c r="K598" s="40">
        <f t="shared" si="177"/>
        <v>6.09</v>
      </c>
      <c r="L598" s="40"/>
      <c r="M598" s="59"/>
      <c r="N598" s="98"/>
      <c r="O598" s="65"/>
      <c r="P598" s="87"/>
      <c r="Q598" s="128"/>
      <c r="R598" s="128"/>
      <c r="S598" s="128"/>
      <c r="T598" s="87"/>
      <c r="U598" s="87"/>
      <c r="V598" s="87"/>
      <c r="W598" s="87"/>
    </row>
    <row r="599" spans="1:23" s="66" customFormat="1" ht="13.8" x14ac:dyDescent="0.25">
      <c r="A599" s="34"/>
      <c r="B599" s="39" t="s">
        <v>558</v>
      </c>
      <c r="C599" s="40">
        <v>2</v>
      </c>
      <c r="D599" s="40">
        <v>2.9</v>
      </c>
      <c r="E599" s="40"/>
      <c r="F599" s="40">
        <v>2.9</v>
      </c>
      <c r="G599" s="40"/>
      <c r="H599" s="157">
        <f t="shared" si="175"/>
        <v>8.41</v>
      </c>
      <c r="I599" s="40"/>
      <c r="J599" s="40">
        <f t="shared" si="176"/>
        <v>8.41</v>
      </c>
      <c r="K599" s="40">
        <f t="shared" si="177"/>
        <v>16.82</v>
      </c>
      <c r="L599" s="40"/>
      <c r="M599" s="59"/>
      <c r="N599" s="98"/>
      <c r="O599" s="65"/>
      <c r="P599" s="87"/>
      <c r="Q599" s="128"/>
      <c r="R599" s="128"/>
      <c r="S599" s="128"/>
      <c r="T599" s="87"/>
      <c r="U599" s="87"/>
      <c r="V599" s="87"/>
      <c r="W599" s="87"/>
    </row>
    <row r="600" spans="1:23" s="66" customFormat="1" ht="13.8" x14ac:dyDescent="0.25">
      <c r="A600" s="34"/>
      <c r="B600" s="39" t="s">
        <v>546</v>
      </c>
      <c r="C600" s="40">
        <v>1</v>
      </c>
      <c r="D600" s="40">
        <v>9</v>
      </c>
      <c r="E600" s="40"/>
      <c r="F600" s="40">
        <v>2.9</v>
      </c>
      <c r="G600" s="40"/>
      <c r="H600" s="157">
        <f t="shared" si="175"/>
        <v>26.099999999999998</v>
      </c>
      <c r="I600" s="40"/>
      <c r="J600" s="40">
        <f t="shared" si="176"/>
        <v>26.099999999999998</v>
      </c>
      <c r="K600" s="40">
        <f t="shared" si="177"/>
        <v>26.099999999999998</v>
      </c>
      <c r="L600" s="40"/>
      <c r="M600" s="59"/>
      <c r="N600" s="98"/>
      <c r="O600" s="65"/>
      <c r="P600" s="87"/>
      <c r="Q600" s="128"/>
      <c r="R600" s="128"/>
      <c r="S600" s="128"/>
      <c r="T600" s="87"/>
      <c r="U600" s="87"/>
      <c r="V600" s="87"/>
      <c r="W600" s="87"/>
    </row>
    <row r="601" spans="1:23" s="66" customFormat="1" ht="13.8" x14ac:dyDescent="0.25">
      <c r="A601" s="34"/>
      <c r="B601" s="39"/>
      <c r="C601" s="40"/>
      <c r="D601" s="40"/>
      <c r="E601" s="40"/>
      <c r="F601" s="40"/>
      <c r="G601" s="40"/>
      <c r="H601" s="157"/>
      <c r="I601" s="40"/>
      <c r="J601" s="40"/>
      <c r="K601" s="40"/>
      <c r="L601" s="40"/>
      <c r="M601" s="59"/>
      <c r="N601" s="98"/>
      <c r="O601" s="65"/>
      <c r="P601" s="87"/>
      <c r="Q601" s="128"/>
      <c r="R601" s="128"/>
      <c r="S601" s="128"/>
      <c r="T601" s="87"/>
      <c r="U601" s="87"/>
      <c r="V601" s="87"/>
      <c r="W601" s="87"/>
    </row>
    <row r="602" spans="1:23" s="66" customFormat="1" ht="13.8" x14ac:dyDescent="0.25">
      <c r="A602" s="34"/>
      <c r="B602" s="129" t="s">
        <v>133</v>
      </c>
      <c r="C602" s="40"/>
      <c r="D602" s="40"/>
      <c r="E602" s="40"/>
      <c r="F602" s="40" t="s">
        <v>525</v>
      </c>
      <c r="G602" s="40"/>
      <c r="H602" s="157"/>
      <c r="I602" s="40"/>
      <c r="J602" s="40"/>
      <c r="K602" s="59">
        <f>+SUM(K604:K611)</f>
        <v>29.61</v>
      </c>
      <c r="L602" s="59"/>
      <c r="M602" s="59"/>
      <c r="N602" s="98"/>
      <c r="O602" s="65"/>
      <c r="P602" s="87"/>
      <c r="Q602" s="128"/>
      <c r="R602" s="128"/>
      <c r="S602" s="128"/>
      <c r="T602" s="87"/>
      <c r="U602" s="87"/>
      <c r="V602" s="87"/>
      <c r="W602" s="87"/>
    </row>
    <row r="603" spans="1:23" s="66" customFormat="1" ht="13.8" x14ac:dyDescent="0.25">
      <c r="A603" s="34"/>
      <c r="B603" s="68" t="s">
        <v>204</v>
      </c>
      <c r="C603" s="40"/>
      <c r="D603" s="40"/>
      <c r="E603" s="40"/>
      <c r="F603" s="40"/>
      <c r="G603" s="40"/>
      <c r="H603" s="157"/>
      <c r="I603" s="40"/>
      <c r="J603" s="40"/>
      <c r="K603" s="40"/>
      <c r="L603" s="40"/>
      <c r="M603" s="59"/>
      <c r="N603" s="98"/>
      <c r="O603" s="65"/>
      <c r="P603" s="87"/>
      <c r="Q603" s="128"/>
      <c r="R603" s="128"/>
      <c r="S603" s="128"/>
      <c r="T603" s="87"/>
      <c r="U603" s="87"/>
      <c r="V603" s="87"/>
      <c r="W603" s="87"/>
    </row>
    <row r="604" spans="1:23" s="66" customFormat="1" ht="13.8" x14ac:dyDescent="0.25">
      <c r="A604" s="34"/>
      <c r="B604" s="39" t="s">
        <v>559</v>
      </c>
      <c r="C604" s="40">
        <v>1</v>
      </c>
      <c r="D604" s="40">
        <v>0.9</v>
      </c>
      <c r="E604" s="40"/>
      <c r="F604" s="40">
        <v>2.1</v>
      </c>
      <c r="G604" s="40"/>
      <c r="H604" s="157">
        <f t="shared" ref="H604:H611" si="178">+F604*D604</f>
        <v>1.8900000000000001</v>
      </c>
      <c r="I604" s="40"/>
      <c r="J604" s="40">
        <f t="shared" ref="J604:J611" si="179">+H604</f>
        <v>1.8900000000000001</v>
      </c>
      <c r="K604" s="40">
        <f t="shared" ref="K604:K611" si="180">+J604*C604</f>
        <v>1.8900000000000001</v>
      </c>
      <c r="L604" s="40"/>
      <c r="M604" s="59"/>
      <c r="N604" s="98"/>
      <c r="O604" s="65"/>
      <c r="P604" s="87"/>
      <c r="Q604" s="128"/>
      <c r="R604" s="128"/>
      <c r="S604" s="128"/>
      <c r="T604" s="87"/>
      <c r="U604" s="87"/>
      <c r="V604" s="87"/>
      <c r="W604" s="87"/>
    </row>
    <row r="605" spans="1:23" s="66" customFormat="1" ht="13.8" x14ac:dyDescent="0.25">
      <c r="A605" s="34"/>
      <c r="B605" s="39" t="s">
        <v>547</v>
      </c>
      <c r="C605" s="40">
        <v>2</v>
      </c>
      <c r="D605" s="40">
        <v>0.4</v>
      </c>
      <c r="E605" s="40"/>
      <c r="F605" s="40">
        <v>1.45</v>
      </c>
      <c r="G605" s="40"/>
      <c r="H605" s="157">
        <f t="shared" ref="H605" si="181">+F605*D605</f>
        <v>0.57999999999999996</v>
      </c>
      <c r="I605" s="40"/>
      <c r="J605" s="40">
        <f t="shared" ref="J605" si="182">+H605</f>
        <v>0.57999999999999996</v>
      </c>
      <c r="K605" s="40">
        <f t="shared" ref="K605" si="183">+J605*C605</f>
        <v>1.1599999999999999</v>
      </c>
      <c r="L605" s="40"/>
      <c r="M605" s="59"/>
      <c r="N605" s="98"/>
      <c r="O605" s="65"/>
      <c r="P605" s="87"/>
      <c r="Q605" s="128"/>
      <c r="R605" s="128"/>
      <c r="S605" s="128"/>
      <c r="T605" s="87"/>
      <c r="U605" s="87"/>
      <c r="V605" s="87"/>
      <c r="W605" s="87"/>
    </row>
    <row r="606" spans="1:23" s="66" customFormat="1" ht="13.8" x14ac:dyDescent="0.25">
      <c r="A606" s="34"/>
      <c r="B606" s="39" t="s">
        <v>548</v>
      </c>
      <c r="C606" s="40">
        <v>3</v>
      </c>
      <c r="D606" s="40">
        <v>0.4</v>
      </c>
      <c r="E606" s="40"/>
      <c r="F606" s="40">
        <v>1.5</v>
      </c>
      <c r="G606" s="40"/>
      <c r="H606" s="157">
        <f t="shared" si="178"/>
        <v>0.60000000000000009</v>
      </c>
      <c r="I606" s="40"/>
      <c r="J606" s="40">
        <f t="shared" si="179"/>
        <v>0.60000000000000009</v>
      </c>
      <c r="K606" s="40">
        <f t="shared" si="180"/>
        <v>1.8000000000000003</v>
      </c>
      <c r="L606" s="40"/>
      <c r="M606" s="59"/>
      <c r="N606" s="98"/>
      <c r="O606" s="65"/>
      <c r="P606" s="87"/>
      <c r="Q606" s="128"/>
      <c r="R606" s="128"/>
      <c r="S606" s="128"/>
      <c r="T606" s="87"/>
      <c r="U606" s="87"/>
      <c r="V606" s="87"/>
      <c r="W606" s="87"/>
    </row>
    <row r="607" spans="1:23" s="66" customFormat="1" ht="13.8" x14ac:dyDescent="0.25">
      <c r="A607" s="34"/>
      <c r="B607" s="39" t="s">
        <v>549</v>
      </c>
      <c r="C607" s="40">
        <v>1</v>
      </c>
      <c r="D607" s="40">
        <v>3.6</v>
      </c>
      <c r="E607" s="40"/>
      <c r="F607" s="40">
        <v>2.5</v>
      </c>
      <c r="G607" s="40"/>
      <c r="H607" s="157">
        <f t="shared" si="178"/>
        <v>9</v>
      </c>
      <c r="I607" s="40"/>
      <c r="J607" s="40">
        <f t="shared" si="179"/>
        <v>9</v>
      </c>
      <c r="K607" s="40">
        <f t="shared" si="180"/>
        <v>9</v>
      </c>
      <c r="L607" s="40"/>
      <c r="M607" s="59"/>
      <c r="N607" s="98"/>
      <c r="O607" s="65"/>
      <c r="P607" s="87"/>
      <c r="Q607" s="128"/>
      <c r="R607" s="128"/>
      <c r="S607" s="128"/>
      <c r="T607" s="87"/>
      <c r="U607" s="87"/>
      <c r="V607" s="87"/>
      <c r="W607" s="87"/>
    </row>
    <row r="608" spans="1:23" s="66" customFormat="1" ht="13.8" x14ac:dyDescent="0.25">
      <c r="A608" s="34"/>
      <c r="B608" s="39" t="s">
        <v>550</v>
      </c>
      <c r="C608" s="40">
        <v>1</v>
      </c>
      <c r="D608" s="40">
        <v>2.2000000000000002</v>
      </c>
      <c r="E608" s="40"/>
      <c r="F608" s="40">
        <v>2.5</v>
      </c>
      <c r="G608" s="40"/>
      <c r="H608" s="157">
        <f t="shared" si="178"/>
        <v>5.5</v>
      </c>
      <c r="I608" s="40"/>
      <c r="J608" s="40">
        <f t="shared" si="179"/>
        <v>5.5</v>
      </c>
      <c r="K608" s="40">
        <f t="shared" si="180"/>
        <v>5.5</v>
      </c>
      <c r="L608" s="40"/>
      <c r="M608" s="59"/>
      <c r="N608" s="98"/>
      <c r="O608" s="65"/>
      <c r="P608" s="87"/>
      <c r="Q608" s="128"/>
      <c r="R608" s="128"/>
      <c r="S608" s="128"/>
      <c r="T608" s="87"/>
      <c r="U608" s="87"/>
      <c r="V608" s="87"/>
      <c r="W608" s="87"/>
    </row>
    <row r="609" spans="1:23" s="66" customFormat="1" ht="13.8" x14ac:dyDescent="0.25">
      <c r="A609" s="34"/>
      <c r="B609" s="39" t="s">
        <v>560</v>
      </c>
      <c r="C609" s="40">
        <v>1</v>
      </c>
      <c r="D609" s="40">
        <v>1.8</v>
      </c>
      <c r="E609" s="40"/>
      <c r="F609" s="40">
        <v>1.5</v>
      </c>
      <c r="G609" s="40"/>
      <c r="H609" s="157">
        <f t="shared" ref="H609" si="184">+F609*D609</f>
        <v>2.7</v>
      </c>
      <c r="I609" s="40"/>
      <c r="J609" s="40">
        <f t="shared" ref="J609" si="185">+H609</f>
        <v>2.7</v>
      </c>
      <c r="K609" s="40">
        <f t="shared" ref="K609" si="186">+J609*C609</f>
        <v>2.7</v>
      </c>
      <c r="L609" s="40"/>
      <c r="M609" s="59"/>
      <c r="N609" s="98"/>
      <c r="O609" s="65"/>
      <c r="P609" s="87"/>
      <c r="Q609" s="128"/>
      <c r="R609" s="128"/>
      <c r="S609" s="128"/>
      <c r="T609" s="87"/>
      <c r="U609" s="87"/>
      <c r="V609" s="87"/>
      <c r="W609" s="87"/>
    </row>
    <row r="610" spans="1:23" s="66" customFormat="1" ht="13.8" x14ac:dyDescent="0.25">
      <c r="A610" s="34"/>
      <c r="B610" s="39" t="s">
        <v>561</v>
      </c>
      <c r="C610" s="40">
        <v>2</v>
      </c>
      <c r="D610" s="40">
        <v>0.8</v>
      </c>
      <c r="E610" s="40"/>
      <c r="F610" s="40">
        <v>2.1</v>
      </c>
      <c r="G610" s="40"/>
      <c r="H610" s="157">
        <f t="shared" si="178"/>
        <v>1.6800000000000002</v>
      </c>
      <c r="I610" s="40"/>
      <c r="J610" s="40">
        <f t="shared" si="179"/>
        <v>1.6800000000000002</v>
      </c>
      <c r="K610" s="40">
        <f t="shared" si="180"/>
        <v>3.3600000000000003</v>
      </c>
      <c r="L610" s="40"/>
      <c r="M610" s="59"/>
      <c r="N610" s="98"/>
      <c r="O610" s="65"/>
      <c r="P610" s="87"/>
      <c r="Q610" s="128"/>
      <c r="R610" s="128"/>
      <c r="S610" s="128"/>
      <c r="T610" s="87"/>
      <c r="U610" s="87"/>
      <c r="V610" s="87"/>
      <c r="W610" s="87"/>
    </row>
    <row r="611" spans="1:23" s="66" customFormat="1" ht="13.8" x14ac:dyDescent="0.25">
      <c r="A611" s="34"/>
      <c r="B611" s="39" t="s">
        <v>552</v>
      </c>
      <c r="C611" s="40">
        <v>7</v>
      </c>
      <c r="D611" s="40">
        <v>0.4</v>
      </c>
      <c r="E611" s="40"/>
      <c r="F611" s="40">
        <v>1.5</v>
      </c>
      <c r="G611" s="40"/>
      <c r="H611" s="157">
        <f t="shared" si="178"/>
        <v>0.60000000000000009</v>
      </c>
      <c r="I611" s="40"/>
      <c r="J611" s="40">
        <f t="shared" si="179"/>
        <v>0.60000000000000009</v>
      </c>
      <c r="K611" s="40">
        <f t="shared" si="180"/>
        <v>4.2000000000000011</v>
      </c>
      <c r="L611" s="40"/>
      <c r="M611" s="59"/>
      <c r="N611" s="98"/>
      <c r="O611" s="65"/>
      <c r="P611" s="87"/>
      <c r="Q611" s="128"/>
      <c r="R611" s="128"/>
      <c r="S611" s="128"/>
      <c r="T611" s="87"/>
      <c r="U611" s="87"/>
      <c r="V611" s="87"/>
      <c r="W611" s="87"/>
    </row>
    <row r="612" spans="1:23" s="66" customFormat="1" ht="13.8" x14ac:dyDescent="0.25">
      <c r="A612" s="34"/>
      <c r="B612" s="39"/>
      <c r="C612" s="40"/>
      <c r="D612" s="40"/>
      <c r="E612" s="40"/>
      <c r="F612" s="40"/>
      <c r="G612" s="40"/>
      <c r="H612" s="157"/>
      <c r="I612" s="40"/>
      <c r="J612" s="40"/>
      <c r="K612" s="40"/>
      <c r="L612" s="40"/>
      <c r="M612" s="59"/>
      <c r="N612" s="98"/>
      <c r="O612" s="65"/>
      <c r="P612" s="87"/>
      <c r="Q612" s="128"/>
      <c r="R612" s="128"/>
      <c r="S612" s="128"/>
      <c r="T612" s="87"/>
      <c r="U612" s="87"/>
      <c r="V612" s="87"/>
      <c r="W612" s="87"/>
    </row>
    <row r="613" spans="1:23" s="33" customFormat="1" ht="13.8" x14ac:dyDescent="0.25">
      <c r="A613" s="34"/>
      <c r="B613" s="160" t="s">
        <v>205</v>
      </c>
      <c r="C613" s="40"/>
      <c r="D613" s="40"/>
      <c r="E613" s="40"/>
      <c r="F613" s="40"/>
      <c r="G613" s="40"/>
      <c r="H613" s="157"/>
      <c r="I613" s="40"/>
      <c r="J613" s="40"/>
      <c r="K613" s="158">
        <f>+SUM(K614:K619)</f>
        <v>169.08</v>
      </c>
      <c r="L613" s="158">
        <f>+K613-K621</f>
        <v>154.512</v>
      </c>
      <c r="M613" s="59"/>
      <c r="N613" s="159"/>
      <c r="O613" s="32"/>
      <c r="P613" s="85"/>
      <c r="Q613" s="126"/>
      <c r="R613" s="126"/>
      <c r="S613" s="126"/>
      <c r="T613" s="85"/>
      <c r="U613" s="85"/>
      <c r="V613" s="85"/>
      <c r="W613" s="85"/>
    </row>
    <row r="614" spans="1:23" s="66" customFormat="1" ht="13.8" x14ac:dyDescent="0.25">
      <c r="A614" s="34"/>
      <c r="B614" s="39" t="s">
        <v>501</v>
      </c>
      <c r="C614" s="40">
        <v>1</v>
      </c>
      <c r="D614" s="40">
        <v>14.1</v>
      </c>
      <c r="E614" s="40"/>
      <c r="F614" s="40">
        <v>2.9</v>
      </c>
      <c r="G614" s="40"/>
      <c r="H614" s="157">
        <f t="shared" ref="H614:H619" si="187">+F614*D614</f>
        <v>40.89</v>
      </c>
      <c r="I614" s="40"/>
      <c r="J614" s="40">
        <f t="shared" ref="J614:J619" si="188">+H614</f>
        <v>40.89</v>
      </c>
      <c r="K614" s="40">
        <f t="shared" ref="K614:K619" si="189">+J614*C614</f>
        <v>40.89</v>
      </c>
      <c r="L614" s="40"/>
      <c r="M614" s="59"/>
      <c r="N614" s="98"/>
      <c r="O614" s="65"/>
      <c r="P614" s="87"/>
      <c r="Q614" s="128"/>
      <c r="R614" s="128"/>
      <c r="S614" s="128"/>
      <c r="T614" s="87"/>
      <c r="U614" s="87"/>
      <c r="V614" s="87"/>
      <c r="W614" s="87"/>
    </row>
    <row r="615" spans="1:23" s="66" customFormat="1" ht="13.8" x14ac:dyDescent="0.25">
      <c r="A615" s="34"/>
      <c r="B615" s="39" t="s">
        <v>209</v>
      </c>
      <c r="C615" s="40">
        <v>1</v>
      </c>
      <c r="D615" s="40">
        <v>8.4</v>
      </c>
      <c r="E615" s="40"/>
      <c r="F615" s="40">
        <v>2.9</v>
      </c>
      <c r="G615" s="40"/>
      <c r="H615" s="157">
        <f t="shared" si="187"/>
        <v>24.36</v>
      </c>
      <c r="I615" s="40"/>
      <c r="J615" s="40">
        <f t="shared" si="188"/>
        <v>24.36</v>
      </c>
      <c r="K615" s="40">
        <f t="shared" si="189"/>
        <v>24.36</v>
      </c>
      <c r="L615" s="40"/>
      <c r="M615" s="59"/>
      <c r="N615" s="98"/>
      <c r="O615" s="65"/>
      <c r="P615" s="87"/>
      <c r="Q615" s="128"/>
      <c r="R615" s="128"/>
      <c r="S615" s="128"/>
      <c r="T615" s="87"/>
      <c r="U615" s="87"/>
      <c r="V615" s="87"/>
      <c r="W615" s="87"/>
    </row>
    <row r="616" spans="1:23" s="66" customFormat="1" ht="13.8" x14ac:dyDescent="0.25">
      <c r="A616" s="34"/>
      <c r="B616" s="39" t="s">
        <v>505</v>
      </c>
      <c r="C616" s="40">
        <v>1</v>
      </c>
      <c r="D616" s="40">
        <v>15.4</v>
      </c>
      <c r="E616" s="40"/>
      <c r="F616" s="40">
        <v>2.9</v>
      </c>
      <c r="G616" s="40"/>
      <c r="H616" s="157">
        <f t="shared" si="187"/>
        <v>44.66</v>
      </c>
      <c r="I616" s="40"/>
      <c r="J616" s="40">
        <f t="shared" si="188"/>
        <v>44.66</v>
      </c>
      <c r="K616" s="40">
        <f t="shared" si="189"/>
        <v>44.66</v>
      </c>
      <c r="L616" s="40"/>
      <c r="M616" s="59"/>
      <c r="N616" s="98"/>
      <c r="O616" s="65"/>
      <c r="P616" s="87"/>
      <c r="Q616" s="128"/>
      <c r="R616" s="128"/>
      <c r="S616" s="128"/>
      <c r="T616" s="87"/>
      <c r="U616" s="87"/>
      <c r="V616" s="87"/>
      <c r="W616" s="87"/>
    </row>
    <row r="617" spans="1:23" s="66" customFormat="1" ht="13.8" x14ac:dyDescent="0.25">
      <c r="A617" s="34"/>
      <c r="B617" s="39" t="s">
        <v>544</v>
      </c>
      <c r="C617" s="40">
        <v>1</v>
      </c>
      <c r="D617" s="40">
        <v>14.6</v>
      </c>
      <c r="E617" s="40"/>
      <c r="F617" s="40">
        <v>2.9</v>
      </c>
      <c r="G617" s="40"/>
      <c r="H617" s="157">
        <f t="shared" si="187"/>
        <v>42.339999999999996</v>
      </c>
      <c r="I617" s="40"/>
      <c r="J617" s="40">
        <f t="shared" si="188"/>
        <v>42.339999999999996</v>
      </c>
      <c r="K617" s="40">
        <f t="shared" si="189"/>
        <v>42.339999999999996</v>
      </c>
      <c r="L617" s="40"/>
      <c r="M617" s="59"/>
      <c r="N617" s="98"/>
      <c r="O617" s="65"/>
      <c r="P617" s="87"/>
      <c r="Q617" s="128"/>
      <c r="R617" s="128"/>
      <c r="S617" s="128"/>
      <c r="T617" s="87"/>
      <c r="U617" s="87"/>
      <c r="V617" s="87"/>
      <c r="W617" s="87"/>
    </row>
    <row r="618" spans="1:23" s="66" customFormat="1" ht="13.8" x14ac:dyDescent="0.25">
      <c r="A618" s="34"/>
      <c r="B618" s="39" t="s">
        <v>566</v>
      </c>
      <c r="C618" s="40">
        <v>1</v>
      </c>
      <c r="D618" s="40">
        <v>2.7</v>
      </c>
      <c r="E618" s="40"/>
      <c r="F618" s="40">
        <v>2.9</v>
      </c>
      <c r="G618" s="40"/>
      <c r="H618" s="157">
        <f t="shared" si="187"/>
        <v>7.83</v>
      </c>
      <c r="I618" s="40"/>
      <c r="J618" s="40">
        <f t="shared" si="188"/>
        <v>7.83</v>
      </c>
      <c r="K618" s="40">
        <f t="shared" si="189"/>
        <v>7.83</v>
      </c>
      <c r="L618" s="40"/>
      <c r="M618" s="59"/>
      <c r="N618" s="98"/>
      <c r="O618" s="65"/>
      <c r="P618" s="87"/>
      <c r="Q618" s="128"/>
      <c r="R618" s="128"/>
      <c r="S618" s="128"/>
      <c r="T618" s="87"/>
      <c r="U618" s="87"/>
      <c r="V618" s="87"/>
      <c r="W618" s="87"/>
    </row>
    <row r="619" spans="1:23" s="66" customFormat="1" ht="13.8" x14ac:dyDescent="0.25">
      <c r="A619" s="34"/>
      <c r="B619" s="39" t="s">
        <v>546</v>
      </c>
      <c r="C619" s="40">
        <v>1</v>
      </c>
      <c r="D619" s="40">
        <v>9</v>
      </c>
      <c r="E619" s="40"/>
      <c r="F619" s="40">
        <v>1</v>
      </c>
      <c r="G619" s="40"/>
      <c r="H619" s="157">
        <f t="shared" si="187"/>
        <v>9</v>
      </c>
      <c r="I619" s="40"/>
      <c r="J619" s="40">
        <f t="shared" si="188"/>
        <v>9</v>
      </c>
      <c r="K619" s="40">
        <f t="shared" si="189"/>
        <v>9</v>
      </c>
      <c r="L619" s="40"/>
      <c r="M619" s="59"/>
      <c r="N619" s="98"/>
      <c r="O619" s="65"/>
      <c r="P619" s="87"/>
      <c r="Q619" s="128"/>
      <c r="R619" s="128"/>
      <c r="S619" s="128"/>
      <c r="T619" s="87"/>
      <c r="U619" s="87"/>
      <c r="V619" s="87"/>
      <c r="W619" s="87"/>
    </row>
    <row r="620" spans="1:23" s="66" customFormat="1" ht="13.8" x14ac:dyDescent="0.25">
      <c r="A620" s="34"/>
      <c r="B620" s="39"/>
      <c r="C620" s="40"/>
      <c r="D620" s="40"/>
      <c r="E620" s="40"/>
      <c r="F620" s="40"/>
      <c r="G620" s="40"/>
      <c r="H620" s="157"/>
      <c r="I620" s="40"/>
      <c r="J620" s="40"/>
      <c r="K620" s="40"/>
      <c r="L620" s="40"/>
      <c r="M620" s="59"/>
      <c r="N620" s="98"/>
      <c r="O620" s="65"/>
      <c r="P620" s="87"/>
      <c r="Q620" s="128"/>
      <c r="R620" s="128"/>
      <c r="S620" s="128"/>
      <c r="T620" s="87"/>
      <c r="U620" s="87"/>
      <c r="V620" s="87"/>
      <c r="W620" s="87"/>
    </row>
    <row r="621" spans="1:23" s="66" customFormat="1" ht="13.8" x14ac:dyDescent="0.25">
      <c r="A621" s="34"/>
      <c r="B621" s="129" t="s">
        <v>133</v>
      </c>
      <c r="C621" s="40"/>
      <c r="D621" s="40"/>
      <c r="E621" s="40"/>
      <c r="F621" s="40" t="s">
        <v>525</v>
      </c>
      <c r="G621" s="40"/>
      <c r="H621" s="157"/>
      <c r="I621" s="40"/>
      <c r="J621" s="40"/>
      <c r="K621" s="59">
        <f>+SUM(K623:K624)</f>
        <v>14.568</v>
      </c>
      <c r="L621" s="59"/>
      <c r="M621" s="59"/>
      <c r="N621" s="98"/>
      <c r="O621" s="65"/>
      <c r="P621" s="87"/>
      <c r="Q621" s="128"/>
      <c r="R621" s="128"/>
      <c r="S621" s="128"/>
      <c r="T621" s="87"/>
      <c r="U621" s="87"/>
      <c r="V621" s="87"/>
      <c r="W621" s="87"/>
    </row>
    <row r="622" spans="1:23" s="66" customFormat="1" ht="13.8" x14ac:dyDescent="0.25">
      <c r="A622" s="34"/>
      <c r="B622" s="68" t="s">
        <v>205</v>
      </c>
      <c r="C622" s="40"/>
      <c r="D622" s="40"/>
      <c r="E622" s="40"/>
      <c r="F622" s="40"/>
      <c r="G622" s="40"/>
      <c r="H622" s="157"/>
      <c r="I622" s="40"/>
      <c r="J622" s="40"/>
      <c r="K622" s="40"/>
      <c r="L622" s="40"/>
      <c r="M622" s="59"/>
      <c r="N622" s="98"/>
      <c r="O622" s="65"/>
      <c r="P622" s="87"/>
      <c r="Q622" s="128"/>
      <c r="R622" s="128"/>
      <c r="S622" s="128"/>
      <c r="T622" s="87"/>
      <c r="U622" s="87"/>
      <c r="V622" s="87"/>
      <c r="W622" s="87"/>
    </row>
    <row r="623" spans="1:23" s="66" customFormat="1" ht="13.8" x14ac:dyDescent="0.25">
      <c r="A623" s="34"/>
      <c r="B623" s="39" t="s">
        <v>567</v>
      </c>
      <c r="C623" s="40">
        <v>2</v>
      </c>
      <c r="D623" s="40">
        <v>2.73</v>
      </c>
      <c r="E623" s="40"/>
      <c r="F623" s="40">
        <v>1.2</v>
      </c>
      <c r="G623" s="40"/>
      <c r="H623" s="157">
        <f t="shared" ref="H623" si="190">+F623*D623</f>
        <v>3.2759999999999998</v>
      </c>
      <c r="I623" s="40"/>
      <c r="J623" s="40">
        <f t="shared" ref="J623" si="191">+H623</f>
        <v>3.2759999999999998</v>
      </c>
      <c r="K623" s="40">
        <f t="shared" ref="K623" si="192">+J623*C623</f>
        <v>6.5519999999999996</v>
      </c>
      <c r="L623" s="40"/>
      <c r="M623" s="59"/>
      <c r="N623" s="98"/>
      <c r="O623" s="65"/>
      <c r="P623" s="87"/>
      <c r="Q623" s="128"/>
      <c r="R623" s="128"/>
      <c r="S623" s="128"/>
      <c r="T623" s="87"/>
      <c r="U623" s="87"/>
      <c r="V623" s="87"/>
      <c r="W623" s="87"/>
    </row>
    <row r="624" spans="1:23" s="66" customFormat="1" ht="13.8" x14ac:dyDescent="0.25">
      <c r="A624" s="34"/>
      <c r="B624" s="39" t="s">
        <v>568</v>
      </c>
      <c r="C624" s="40">
        <v>2</v>
      </c>
      <c r="D624" s="40">
        <v>3.34</v>
      </c>
      <c r="E624" s="40"/>
      <c r="F624" s="40">
        <v>1.2</v>
      </c>
      <c r="G624" s="40"/>
      <c r="H624" s="157">
        <f t="shared" ref="H624" si="193">+F624*D624</f>
        <v>4.008</v>
      </c>
      <c r="I624" s="40"/>
      <c r="J624" s="40">
        <f t="shared" ref="J624" si="194">+H624</f>
        <v>4.008</v>
      </c>
      <c r="K624" s="40">
        <f t="shared" ref="K624" si="195">+J624*C624</f>
        <v>8.016</v>
      </c>
      <c r="L624" s="40"/>
      <c r="M624" s="59"/>
      <c r="N624" s="98"/>
      <c r="O624" s="65"/>
      <c r="P624" s="87"/>
      <c r="Q624" s="128"/>
      <c r="R624" s="128"/>
      <c r="S624" s="128"/>
      <c r="T624" s="87"/>
      <c r="U624" s="87"/>
      <c r="V624" s="87"/>
      <c r="W624" s="87"/>
    </row>
    <row r="625" spans="1:23" s="66" customFormat="1" ht="13.8" x14ac:dyDescent="0.25">
      <c r="A625" s="34"/>
      <c r="B625" s="39"/>
      <c r="C625" s="40"/>
      <c r="D625" s="40"/>
      <c r="E625" s="40"/>
      <c r="F625" s="40"/>
      <c r="G625" s="40"/>
      <c r="H625" s="157"/>
      <c r="I625" s="40"/>
      <c r="J625" s="40"/>
      <c r="K625" s="40"/>
      <c r="L625" s="40"/>
      <c r="M625" s="59"/>
      <c r="N625" s="98"/>
      <c r="O625" s="65"/>
      <c r="P625" s="87"/>
      <c r="Q625" s="128"/>
      <c r="R625" s="128"/>
      <c r="S625" s="128"/>
      <c r="T625" s="87"/>
      <c r="U625" s="87"/>
      <c r="V625" s="87"/>
      <c r="W625" s="87"/>
    </row>
    <row r="626" spans="1:23" s="33" customFormat="1" ht="13.8" x14ac:dyDescent="0.25">
      <c r="A626" s="34"/>
      <c r="B626" s="160" t="s">
        <v>569</v>
      </c>
      <c r="C626" s="40"/>
      <c r="D626" s="40"/>
      <c r="E626" s="40"/>
      <c r="F626" s="40"/>
      <c r="G626" s="40"/>
      <c r="H626" s="157"/>
      <c r="I626" s="40"/>
      <c r="J626" s="40"/>
      <c r="K626" s="158">
        <f>+SUM(K627:K629)</f>
        <v>73.599999999999994</v>
      </c>
      <c r="L626" s="158">
        <f>+K626</f>
        <v>73.599999999999994</v>
      </c>
      <c r="M626" s="59"/>
      <c r="N626" s="159"/>
      <c r="O626" s="32"/>
      <c r="P626" s="85"/>
      <c r="Q626" s="126"/>
      <c r="R626" s="126"/>
      <c r="S626" s="126"/>
      <c r="T626" s="85"/>
      <c r="U626" s="85"/>
      <c r="V626" s="85"/>
      <c r="W626" s="85"/>
    </row>
    <row r="627" spans="1:23" s="66" customFormat="1" ht="13.8" x14ac:dyDescent="0.25">
      <c r="A627" s="34"/>
      <c r="B627" s="39"/>
      <c r="C627" s="40">
        <v>4</v>
      </c>
      <c r="D627" s="40">
        <v>11</v>
      </c>
      <c r="E627" s="40"/>
      <c r="F627" s="40">
        <v>1</v>
      </c>
      <c r="G627" s="40"/>
      <c r="H627" s="157">
        <f t="shared" ref="H627:H628" si="196">+F627*D627</f>
        <v>11</v>
      </c>
      <c r="I627" s="40"/>
      <c r="J627" s="40">
        <f t="shared" ref="J627:J628" si="197">+H627</f>
        <v>11</v>
      </c>
      <c r="K627" s="40">
        <f t="shared" ref="K627:K628" si="198">+J627*C627</f>
        <v>44</v>
      </c>
      <c r="L627" s="40"/>
      <c r="M627" s="59"/>
      <c r="N627" s="98"/>
      <c r="O627" s="65"/>
      <c r="P627" s="87"/>
      <c r="Q627" s="128"/>
      <c r="R627" s="128"/>
      <c r="S627" s="128"/>
      <c r="T627" s="87"/>
      <c r="U627" s="87"/>
      <c r="V627" s="87"/>
      <c r="W627" s="87"/>
    </row>
    <row r="628" spans="1:23" s="66" customFormat="1" ht="13.8" x14ac:dyDescent="0.25">
      <c r="A628" s="34"/>
      <c r="B628" s="39"/>
      <c r="C628" s="40">
        <v>2</v>
      </c>
      <c r="D628" s="40">
        <v>14.8</v>
      </c>
      <c r="E628" s="40"/>
      <c r="F628" s="40">
        <v>1</v>
      </c>
      <c r="G628" s="40"/>
      <c r="H628" s="157">
        <f t="shared" si="196"/>
        <v>14.8</v>
      </c>
      <c r="I628" s="40"/>
      <c r="J628" s="40">
        <f t="shared" si="197"/>
        <v>14.8</v>
      </c>
      <c r="K628" s="40">
        <f t="shared" si="198"/>
        <v>29.6</v>
      </c>
      <c r="L628" s="40"/>
      <c r="M628" s="59"/>
      <c r="N628" s="98"/>
      <c r="O628" s="65"/>
      <c r="P628" s="87"/>
      <c r="Q628" s="128"/>
      <c r="R628" s="128"/>
      <c r="S628" s="128"/>
      <c r="T628" s="87"/>
      <c r="U628" s="87"/>
      <c r="V628" s="87"/>
      <c r="W628" s="87"/>
    </row>
    <row r="629" spans="1:23" s="66" customFormat="1" ht="13.8" x14ac:dyDescent="0.25">
      <c r="A629" s="34"/>
      <c r="B629" s="39"/>
      <c r="C629" s="40"/>
      <c r="D629" s="40"/>
      <c r="E629" s="40"/>
      <c r="F629" s="40"/>
      <c r="G629" s="40"/>
      <c r="H629" s="157"/>
      <c r="I629" s="40"/>
      <c r="J629" s="40"/>
      <c r="K629" s="40"/>
      <c r="L629" s="40"/>
      <c r="M629" s="59"/>
      <c r="N629" s="98"/>
      <c r="O629" s="65"/>
      <c r="P629" s="87"/>
      <c r="Q629" s="128"/>
      <c r="R629" s="128"/>
      <c r="S629" s="128"/>
      <c r="T629" s="87"/>
      <c r="U629" s="87"/>
      <c r="V629" s="87"/>
      <c r="W629" s="87"/>
    </row>
    <row r="630" spans="1:23" s="66" customFormat="1" ht="13.8" x14ac:dyDescent="0.25">
      <c r="A630" s="34"/>
      <c r="B630" s="39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59"/>
      <c r="N630" s="98"/>
      <c r="O630" s="65"/>
      <c r="P630" s="87"/>
      <c r="Q630" s="128"/>
      <c r="R630" s="128"/>
      <c r="S630" s="128"/>
      <c r="T630" s="87"/>
      <c r="U630" s="87"/>
      <c r="V630" s="87"/>
      <c r="W630" s="87"/>
    </row>
    <row r="631" spans="1:23" s="66" customFormat="1" ht="13.8" x14ac:dyDescent="0.25">
      <c r="A631" s="34"/>
      <c r="B631" s="60" t="s">
        <v>213</v>
      </c>
      <c r="C631" s="40"/>
      <c r="D631" s="40"/>
      <c r="E631" s="40"/>
      <c r="F631" s="40"/>
      <c r="G631" s="40"/>
      <c r="H631" s="40"/>
      <c r="I631" s="40"/>
      <c r="J631" s="40"/>
      <c r="K631" s="40"/>
      <c r="L631" s="40">
        <v>1.05</v>
      </c>
      <c r="M631" s="59">
        <f>+K632*L631</f>
        <v>1130.3312999999996</v>
      </c>
      <c r="N631" s="97" t="s">
        <v>7</v>
      </c>
      <c r="O631" s="65"/>
      <c r="P631" s="87"/>
      <c r="Q631" s="128"/>
      <c r="R631" s="128"/>
      <c r="S631" s="128"/>
      <c r="T631" s="87"/>
      <c r="U631" s="87"/>
      <c r="V631" s="87"/>
      <c r="W631" s="87"/>
    </row>
    <row r="632" spans="1:23" s="66" customFormat="1" ht="13.8" x14ac:dyDescent="0.25">
      <c r="A632" s="34"/>
      <c r="B632" s="164" t="s">
        <v>217</v>
      </c>
      <c r="C632" s="40"/>
      <c r="D632" s="40"/>
      <c r="E632" s="40"/>
      <c r="F632" s="40"/>
      <c r="G632" s="40"/>
      <c r="H632" s="40"/>
      <c r="I632" s="40"/>
      <c r="J632" s="40"/>
      <c r="K632" s="165">
        <f>+SUM(K633:K649)</f>
        <v>1076.5059999999996</v>
      </c>
      <c r="L632" s="165"/>
      <c r="M632" s="59"/>
      <c r="N632" s="98"/>
      <c r="O632" s="65"/>
      <c r="P632" s="87"/>
      <c r="Q632" s="128"/>
      <c r="R632" s="128"/>
      <c r="S632" s="128"/>
      <c r="T632" s="87"/>
      <c r="U632" s="87"/>
      <c r="V632" s="87"/>
      <c r="W632" s="87"/>
    </row>
    <row r="633" spans="1:23" s="66" customFormat="1" ht="13.8" x14ac:dyDescent="0.25">
      <c r="A633" s="34"/>
      <c r="B633" s="39" t="s">
        <v>523</v>
      </c>
      <c r="C633" s="40">
        <v>2</v>
      </c>
      <c r="D633" s="40"/>
      <c r="E633" s="40"/>
      <c r="F633" s="40"/>
      <c r="G633" s="40"/>
      <c r="H633" s="40">
        <f>+M509</f>
        <v>89.509999999999991</v>
      </c>
      <c r="I633" s="40"/>
      <c r="J633" s="40">
        <f>+H633</f>
        <v>89.509999999999991</v>
      </c>
      <c r="K633" s="40">
        <f>+J633*C633</f>
        <v>179.01999999999998</v>
      </c>
      <c r="L633" s="40"/>
      <c r="M633" s="59"/>
      <c r="N633" s="98"/>
      <c r="O633" s="65"/>
      <c r="P633" s="87"/>
      <c r="Q633" s="128"/>
      <c r="R633" s="128"/>
      <c r="S633" s="128"/>
      <c r="T633" s="87"/>
      <c r="U633" s="87"/>
      <c r="V633" s="87"/>
      <c r="W633" s="87"/>
    </row>
    <row r="634" spans="1:23" s="66" customFormat="1" ht="13.8" x14ac:dyDescent="0.25">
      <c r="A634" s="34"/>
      <c r="B634" s="39" t="s">
        <v>216</v>
      </c>
      <c r="C634" s="40">
        <v>1</v>
      </c>
      <c r="D634" s="40"/>
      <c r="E634" s="40"/>
      <c r="F634" s="40"/>
      <c r="G634" s="40"/>
      <c r="H634" s="40">
        <f>+(M546*2)-K651</f>
        <v>885.88199999999972</v>
      </c>
      <c r="I634" s="40"/>
      <c r="J634" s="40">
        <f>+H634</f>
        <v>885.88199999999972</v>
      </c>
      <c r="K634" s="40">
        <f>+J634*C634</f>
        <v>885.88199999999972</v>
      </c>
      <c r="L634" s="40"/>
      <c r="M634" s="59"/>
      <c r="N634" s="98"/>
      <c r="O634" s="65"/>
      <c r="P634" s="87"/>
      <c r="Q634" s="128"/>
      <c r="R634" s="128"/>
      <c r="S634" s="128"/>
      <c r="T634" s="87"/>
      <c r="U634" s="87"/>
      <c r="V634" s="87"/>
      <c r="W634" s="87"/>
    </row>
    <row r="635" spans="1:23" s="66" customFormat="1" ht="13.8" x14ac:dyDescent="0.25">
      <c r="A635" s="34"/>
      <c r="B635" s="58" t="s">
        <v>215</v>
      </c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59"/>
      <c r="N635" s="98"/>
      <c r="O635" s="65"/>
      <c r="P635" s="87"/>
      <c r="Q635" s="128"/>
      <c r="R635" s="128"/>
      <c r="S635" s="128"/>
      <c r="T635" s="87"/>
      <c r="U635" s="87"/>
      <c r="V635" s="87"/>
      <c r="W635" s="87"/>
    </row>
    <row r="636" spans="1:23" s="66" customFormat="1" ht="13.8" x14ac:dyDescent="0.25">
      <c r="A636" s="34"/>
      <c r="B636" s="68" t="s">
        <v>106</v>
      </c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59"/>
      <c r="N636" s="98"/>
      <c r="O636" s="65"/>
      <c r="P636" s="87"/>
      <c r="Q636" s="128"/>
      <c r="R636" s="128"/>
      <c r="S636" s="128"/>
      <c r="T636" s="87"/>
      <c r="U636" s="87"/>
      <c r="V636" s="87"/>
      <c r="W636" s="87"/>
    </row>
    <row r="637" spans="1:23" s="66" customFormat="1" ht="13.8" x14ac:dyDescent="0.25">
      <c r="A637" s="34"/>
      <c r="B637" s="39" t="s">
        <v>536</v>
      </c>
      <c r="C637" s="40">
        <v>1</v>
      </c>
      <c r="D637" s="40">
        <f>4.2+0.8</f>
        <v>5</v>
      </c>
      <c r="E637" s="40">
        <v>0.2</v>
      </c>
      <c r="F637" s="40"/>
      <c r="G637" s="40"/>
      <c r="H637" s="40">
        <f t="shared" ref="H637:H648" si="199">+E637*D637</f>
        <v>1</v>
      </c>
      <c r="I637" s="40"/>
      <c r="J637" s="40">
        <f t="shared" ref="J637:J648" si="200">+H637</f>
        <v>1</v>
      </c>
      <c r="K637" s="40">
        <f t="shared" ref="K637:K648" si="201">+J637*C637</f>
        <v>1</v>
      </c>
      <c r="L637" s="40"/>
      <c r="M637" s="59"/>
      <c r="N637" s="98"/>
      <c r="O637" s="65"/>
      <c r="P637" s="87"/>
      <c r="Q637" s="128"/>
      <c r="R637" s="128"/>
      <c r="S637" s="128"/>
      <c r="T637" s="87"/>
      <c r="U637" s="87"/>
      <c r="V637" s="87"/>
      <c r="W637" s="87"/>
    </row>
    <row r="638" spans="1:23" s="66" customFormat="1" ht="13.8" x14ac:dyDescent="0.25">
      <c r="A638" s="34"/>
      <c r="B638" s="39" t="s">
        <v>537</v>
      </c>
      <c r="C638" s="40">
        <v>1</v>
      </c>
      <c r="D638" s="40">
        <f>5.6+2.52</f>
        <v>8.1199999999999992</v>
      </c>
      <c r="E638" s="40">
        <v>0.2</v>
      </c>
      <c r="F638" s="40"/>
      <c r="G638" s="40"/>
      <c r="H638" s="40">
        <f t="shared" si="199"/>
        <v>1.6239999999999999</v>
      </c>
      <c r="I638" s="40"/>
      <c r="J638" s="40">
        <f t="shared" si="200"/>
        <v>1.6239999999999999</v>
      </c>
      <c r="K638" s="40">
        <f t="shared" si="201"/>
        <v>1.6239999999999999</v>
      </c>
      <c r="L638" s="40"/>
      <c r="M638" s="59"/>
      <c r="N638" s="98"/>
      <c r="O638" s="65"/>
      <c r="P638" s="87"/>
      <c r="Q638" s="128"/>
      <c r="R638" s="128"/>
      <c r="S638" s="128"/>
      <c r="T638" s="87"/>
      <c r="U638" s="87"/>
      <c r="V638" s="87"/>
      <c r="W638" s="87"/>
    </row>
    <row r="639" spans="1:23" s="66" customFormat="1" ht="13.8" x14ac:dyDescent="0.25">
      <c r="A639" s="34"/>
      <c r="B639" s="39" t="s">
        <v>538</v>
      </c>
      <c r="C639" s="40">
        <v>1</v>
      </c>
      <c r="D639" s="40">
        <f>4.2+0.8</f>
        <v>5</v>
      </c>
      <c r="E639" s="40">
        <v>0.2</v>
      </c>
      <c r="F639" s="40"/>
      <c r="G639" s="40"/>
      <c r="H639" s="40">
        <f t="shared" si="199"/>
        <v>1</v>
      </c>
      <c r="I639" s="40"/>
      <c r="J639" s="40">
        <f t="shared" si="200"/>
        <v>1</v>
      </c>
      <c r="K639" s="40">
        <f t="shared" si="201"/>
        <v>1</v>
      </c>
      <c r="L639" s="40"/>
      <c r="M639" s="59"/>
      <c r="N639" s="98"/>
      <c r="O639" s="65"/>
      <c r="P639" s="87"/>
      <c r="Q639" s="128"/>
      <c r="R639" s="128"/>
      <c r="S639" s="128"/>
      <c r="T639" s="87"/>
      <c r="U639" s="87"/>
      <c r="V639" s="87"/>
      <c r="W639" s="87"/>
    </row>
    <row r="641" spans="1:23" s="66" customFormat="1" ht="13.8" x14ac:dyDescent="0.25">
      <c r="A641" s="34"/>
      <c r="B641" s="68" t="s">
        <v>107</v>
      </c>
      <c r="C641" s="40"/>
      <c r="D641" s="40"/>
      <c r="E641" s="40">
        <v>0.2</v>
      </c>
      <c r="F641" s="40"/>
      <c r="G641" s="40"/>
      <c r="H641" s="40"/>
      <c r="I641" s="40"/>
      <c r="J641" s="40"/>
      <c r="K641" s="40"/>
      <c r="L641" s="40"/>
      <c r="M641" s="59"/>
      <c r="N641" s="98"/>
      <c r="O641" s="65"/>
      <c r="P641" s="87"/>
      <c r="Q641" s="128"/>
      <c r="R641" s="128"/>
      <c r="S641" s="128"/>
      <c r="T641" s="87"/>
      <c r="U641" s="87"/>
      <c r="V641" s="87"/>
      <c r="W641" s="87"/>
    </row>
    <row r="642" spans="1:23" s="66" customFormat="1" ht="13.8" x14ac:dyDescent="0.25">
      <c r="A642" s="34"/>
      <c r="B642" s="39" t="s">
        <v>547</v>
      </c>
      <c r="C642" s="40">
        <v>2</v>
      </c>
      <c r="D642" s="40">
        <f>0.8+2.9</f>
        <v>3.7</v>
      </c>
      <c r="E642" s="40">
        <v>0.2</v>
      </c>
      <c r="F642" s="40"/>
      <c r="G642" s="40"/>
      <c r="H642" s="40">
        <f t="shared" si="199"/>
        <v>0.7400000000000001</v>
      </c>
      <c r="I642" s="40"/>
      <c r="J642" s="40">
        <f t="shared" si="200"/>
        <v>0.7400000000000001</v>
      </c>
      <c r="K642" s="40">
        <f t="shared" si="201"/>
        <v>1.4800000000000002</v>
      </c>
      <c r="L642" s="40"/>
      <c r="M642" s="59"/>
      <c r="N642" s="98"/>
      <c r="O642" s="65"/>
      <c r="P642" s="87"/>
      <c r="Q642" s="128"/>
      <c r="R642" s="128"/>
      <c r="S642" s="128"/>
      <c r="T642" s="87"/>
      <c r="U642" s="87"/>
      <c r="V642" s="87"/>
      <c r="W642" s="87"/>
    </row>
    <row r="643" spans="1:23" s="66" customFormat="1" ht="13.8" x14ac:dyDescent="0.25">
      <c r="A643" s="34"/>
      <c r="B643" s="39" t="s">
        <v>551</v>
      </c>
      <c r="C643" s="40">
        <v>2</v>
      </c>
      <c r="D643" s="40">
        <f>0.8+4.2</f>
        <v>5</v>
      </c>
      <c r="E643" s="40">
        <v>0.2</v>
      </c>
      <c r="F643" s="40"/>
      <c r="G643" s="40"/>
      <c r="H643" s="40">
        <f t="shared" si="199"/>
        <v>1</v>
      </c>
      <c r="I643" s="40"/>
      <c r="J643" s="40">
        <f t="shared" si="200"/>
        <v>1</v>
      </c>
      <c r="K643" s="40">
        <f t="shared" si="201"/>
        <v>2</v>
      </c>
      <c r="L643" s="40"/>
      <c r="M643" s="59"/>
      <c r="N643" s="98"/>
      <c r="O643" s="65"/>
      <c r="P643" s="87"/>
      <c r="Q643" s="128"/>
      <c r="R643" s="128"/>
      <c r="S643" s="128"/>
      <c r="T643" s="87"/>
      <c r="U643" s="87"/>
      <c r="V643" s="87"/>
      <c r="W643" s="87"/>
    </row>
    <row r="645" spans="1:23" s="66" customFormat="1" ht="13.8" x14ac:dyDescent="0.25">
      <c r="A645" s="34"/>
      <c r="B645" s="68" t="s">
        <v>204</v>
      </c>
      <c r="C645" s="40"/>
      <c r="D645" s="40"/>
      <c r="E645" s="40">
        <v>0.2</v>
      </c>
      <c r="F645" s="40"/>
      <c r="G645" s="40"/>
      <c r="H645" s="40"/>
      <c r="I645" s="40"/>
      <c r="J645" s="40"/>
      <c r="K645" s="40"/>
      <c r="L645" s="40"/>
      <c r="M645" s="59"/>
      <c r="N645" s="98"/>
      <c r="O645" s="65"/>
      <c r="P645" s="87"/>
      <c r="Q645" s="128"/>
      <c r="R645" s="128"/>
      <c r="S645" s="128"/>
      <c r="T645" s="87"/>
      <c r="U645" s="87"/>
      <c r="V645" s="87"/>
      <c r="W645" s="87"/>
    </row>
    <row r="646" spans="1:23" s="66" customFormat="1" ht="13.8" x14ac:dyDescent="0.25">
      <c r="A646" s="34"/>
      <c r="B646" s="39" t="s">
        <v>559</v>
      </c>
      <c r="C646" s="40">
        <v>1</v>
      </c>
      <c r="D646" s="40">
        <f>0.9+4.2</f>
        <v>5.1000000000000005</v>
      </c>
      <c r="E646" s="40">
        <v>0.2</v>
      </c>
      <c r="F646" s="40"/>
      <c r="G646" s="40"/>
      <c r="H646" s="40">
        <f t="shared" si="199"/>
        <v>1.0200000000000002</v>
      </c>
      <c r="I646" s="40"/>
      <c r="J646" s="40">
        <f t="shared" si="200"/>
        <v>1.0200000000000002</v>
      </c>
      <c r="K646" s="40">
        <f t="shared" si="201"/>
        <v>1.0200000000000002</v>
      </c>
      <c r="L646" s="40"/>
      <c r="M646" s="59"/>
      <c r="N646" s="98"/>
      <c r="O646" s="65"/>
      <c r="P646" s="87"/>
      <c r="Q646" s="128"/>
      <c r="R646" s="128"/>
      <c r="S646" s="128"/>
      <c r="T646" s="87"/>
      <c r="U646" s="87"/>
      <c r="V646" s="87"/>
      <c r="W646" s="87"/>
    </row>
    <row r="647" spans="1:23" s="66" customFormat="1" ht="13.8" x14ac:dyDescent="0.25">
      <c r="A647" s="34"/>
      <c r="B647" s="39" t="s">
        <v>547</v>
      </c>
      <c r="C647" s="40">
        <v>2</v>
      </c>
      <c r="D647" s="40">
        <f>2.9+0.8</f>
        <v>3.7</v>
      </c>
      <c r="E647" s="40">
        <v>0.2</v>
      </c>
      <c r="F647" s="40"/>
      <c r="G647" s="40"/>
      <c r="H647" s="40">
        <f t="shared" si="199"/>
        <v>0.7400000000000001</v>
      </c>
      <c r="I647" s="40"/>
      <c r="J647" s="40">
        <f t="shared" si="200"/>
        <v>0.7400000000000001</v>
      </c>
      <c r="K647" s="40">
        <f t="shared" si="201"/>
        <v>1.4800000000000002</v>
      </c>
      <c r="L647" s="40"/>
      <c r="M647" s="59"/>
      <c r="N647" s="98"/>
      <c r="O647" s="65"/>
      <c r="P647" s="87"/>
      <c r="Q647" s="128"/>
      <c r="R647" s="128"/>
      <c r="S647" s="128"/>
      <c r="T647" s="87"/>
      <c r="U647" s="87"/>
      <c r="V647" s="87"/>
      <c r="W647" s="87"/>
    </row>
    <row r="648" spans="1:23" s="66" customFormat="1" ht="13.8" x14ac:dyDescent="0.25">
      <c r="A648" s="34"/>
      <c r="B648" s="39" t="s">
        <v>561</v>
      </c>
      <c r="C648" s="40">
        <v>2</v>
      </c>
      <c r="D648" s="40">
        <f>0.8+4.2</f>
        <v>5</v>
      </c>
      <c r="E648" s="40">
        <v>0.2</v>
      </c>
      <c r="F648" s="40"/>
      <c r="G648" s="40"/>
      <c r="H648" s="40">
        <f t="shared" si="199"/>
        <v>1</v>
      </c>
      <c r="I648" s="40"/>
      <c r="J648" s="40">
        <f t="shared" si="200"/>
        <v>1</v>
      </c>
      <c r="K648" s="40">
        <f t="shared" si="201"/>
        <v>2</v>
      </c>
      <c r="L648" s="40"/>
      <c r="M648" s="59"/>
      <c r="N648" s="98"/>
      <c r="O648" s="65"/>
      <c r="P648" s="87"/>
      <c r="Q648" s="128"/>
      <c r="R648" s="128"/>
      <c r="S648" s="128"/>
      <c r="T648" s="87"/>
      <c r="U648" s="87"/>
      <c r="V648" s="87"/>
      <c r="W648" s="87"/>
    </row>
    <row r="650" spans="1:23" s="66" customFormat="1" ht="13.8" x14ac:dyDescent="0.25">
      <c r="A650" s="34"/>
      <c r="B650" s="39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59"/>
      <c r="N650" s="98"/>
      <c r="O650" s="65"/>
      <c r="P650" s="87"/>
      <c r="Q650" s="128"/>
      <c r="R650" s="128"/>
      <c r="S650" s="128"/>
      <c r="T650" s="87"/>
      <c r="U650" s="87"/>
      <c r="V650" s="87"/>
      <c r="W650" s="87"/>
    </row>
    <row r="651" spans="1:23" s="66" customFormat="1" ht="33" customHeight="1" x14ac:dyDescent="0.25">
      <c r="A651" s="34"/>
      <c r="B651" s="164" t="s">
        <v>524</v>
      </c>
      <c r="C651" s="40"/>
      <c r="D651" s="40"/>
      <c r="E651" s="40"/>
      <c r="F651" s="40"/>
      <c r="G651" s="40"/>
      <c r="H651" s="40"/>
      <c r="I651" s="40"/>
      <c r="J651" s="40"/>
      <c r="K651" s="165">
        <f>+SUM(K652:K682)</f>
        <v>920.71000000000015</v>
      </c>
      <c r="L651" s="40">
        <v>1.05</v>
      </c>
      <c r="M651" s="59">
        <f>+K651*L651</f>
        <v>966.74550000000022</v>
      </c>
      <c r="N651" s="97" t="s">
        <v>7</v>
      </c>
      <c r="O651" s="65"/>
      <c r="P651" s="87"/>
      <c r="Q651" s="128"/>
      <c r="R651" s="128"/>
      <c r="S651" s="128"/>
      <c r="T651" s="87"/>
      <c r="U651" s="87"/>
      <c r="V651" s="87"/>
      <c r="W651" s="87"/>
    </row>
    <row r="652" spans="1:23" s="66" customFormat="1" ht="13.8" x14ac:dyDescent="0.25">
      <c r="A652" s="34"/>
      <c r="B652" s="39" t="s">
        <v>218</v>
      </c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59"/>
      <c r="N652" s="98"/>
      <c r="O652" s="65"/>
      <c r="P652" s="87"/>
      <c r="Q652" s="128"/>
      <c r="R652" s="128"/>
      <c r="S652" s="128"/>
      <c r="T652" s="87"/>
      <c r="U652" s="87"/>
      <c r="V652" s="87"/>
      <c r="W652" s="87"/>
    </row>
    <row r="653" spans="1:23" s="66" customFormat="1" ht="13.8" x14ac:dyDescent="0.25">
      <c r="A653" s="34"/>
      <c r="B653" s="39" t="s">
        <v>106</v>
      </c>
      <c r="C653" s="40">
        <v>1</v>
      </c>
      <c r="D653" s="40">
        <f>24.7+19.4</f>
        <v>44.099999999999994</v>
      </c>
      <c r="E653" s="40"/>
      <c r="F653" s="40">
        <v>3.9</v>
      </c>
      <c r="G653" s="40"/>
      <c r="H653" s="40">
        <f>+F653*D653</f>
        <v>171.98999999999998</v>
      </c>
      <c r="I653" s="40"/>
      <c r="J653" s="40">
        <f t="shared" ref="J653:J658" si="202">+H653</f>
        <v>171.98999999999998</v>
      </c>
      <c r="K653" s="40">
        <f t="shared" ref="K653:K658" si="203">+J653*C653</f>
        <v>171.98999999999998</v>
      </c>
      <c r="L653" s="40"/>
      <c r="M653" s="59"/>
      <c r="N653" s="98"/>
      <c r="O653" s="65"/>
      <c r="P653" s="87"/>
      <c r="Q653" s="128"/>
      <c r="R653" s="128"/>
      <c r="S653" s="128"/>
      <c r="T653" s="87"/>
      <c r="U653" s="87"/>
      <c r="V653" s="87"/>
      <c r="W653" s="87"/>
    </row>
    <row r="654" spans="1:23" s="66" customFormat="1" ht="13.8" x14ac:dyDescent="0.25">
      <c r="A654" s="34"/>
      <c r="B654" s="39" t="s">
        <v>107</v>
      </c>
      <c r="C654" s="40">
        <v>1</v>
      </c>
      <c r="D654" s="40">
        <v>56.3</v>
      </c>
      <c r="E654" s="40"/>
      <c r="F654" s="40">
        <v>3.4</v>
      </c>
      <c r="G654" s="40"/>
      <c r="H654" s="40">
        <f>+F654*D654</f>
        <v>191.42</v>
      </c>
      <c r="I654" s="40"/>
      <c r="J654" s="40">
        <f t="shared" ref="J654" si="204">+H654</f>
        <v>191.42</v>
      </c>
      <c r="K654" s="40">
        <f t="shared" ref="K654" si="205">+J654*C654</f>
        <v>191.42</v>
      </c>
      <c r="L654" s="40"/>
      <c r="M654" s="59"/>
      <c r="N654" s="98"/>
      <c r="O654" s="65"/>
      <c r="P654" s="87"/>
      <c r="Q654" s="128"/>
      <c r="R654" s="128"/>
      <c r="S654" s="128"/>
      <c r="T654" s="87"/>
      <c r="U654" s="87"/>
      <c r="V654" s="87"/>
      <c r="W654" s="87"/>
    </row>
    <row r="655" spans="1:23" s="66" customFormat="1" ht="13.8" x14ac:dyDescent="0.25">
      <c r="A655" s="34"/>
      <c r="B655" s="39" t="s">
        <v>204</v>
      </c>
      <c r="C655" s="40">
        <v>1</v>
      </c>
      <c r="D655" s="40">
        <v>56.3</v>
      </c>
      <c r="E655" s="40"/>
      <c r="F655" s="40">
        <v>3.4</v>
      </c>
      <c r="G655" s="40"/>
      <c r="H655" s="40">
        <f>+F655*D655</f>
        <v>191.42</v>
      </c>
      <c r="I655" s="40"/>
      <c r="J655" s="40">
        <f t="shared" ref="J655" si="206">+H655</f>
        <v>191.42</v>
      </c>
      <c r="K655" s="40">
        <f t="shared" ref="K655" si="207">+J655*C655</f>
        <v>191.42</v>
      </c>
      <c r="L655" s="40"/>
      <c r="M655" s="59"/>
      <c r="N655" s="98"/>
      <c r="O655" s="65"/>
      <c r="P655" s="87"/>
      <c r="Q655" s="128"/>
      <c r="R655" s="128"/>
      <c r="S655" s="128"/>
      <c r="T655" s="87"/>
      <c r="U655" s="87"/>
      <c r="V655" s="87"/>
      <c r="W655" s="87"/>
    </row>
    <row r="656" spans="1:23" s="66" customFormat="1" ht="13.8" x14ac:dyDescent="0.25">
      <c r="A656" s="34"/>
      <c r="B656" s="39" t="s">
        <v>205</v>
      </c>
      <c r="C656" s="40">
        <v>1</v>
      </c>
      <c r="D656" s="40">
        <f>40.5+16</f>
        <v>56.5</v>
      </c>
      <c r="E656" s="40"/>
      <c r="F656" s="40">
        <v>3.2</v>
      </c>
      <c r="G656" s="40"/>
      <c r="H656" s="40">
        <f>+F656*D656</f>
        <v>180.8</v>
      </c>
      <c r="I656" s="40"/>
      <c r="J656" s="40">
        <f t="shared" ref="J656" si="208">+H656</f>
        <v>180.8</v>
      </c>
      <c r="K656" s="40">
        <f t="shared" ref="K656" si="209">+J656*C656</f>
        <v>180.8</v>
      </c>
      <c r="L656" s="40"/>
      <c r="M656" s="59"/>
      <c r="N656" s="98"/>
      <c r="O656" s="65"/>
      <c r="P656" s="87"/>
      <c r="Q656" s="128"/>
      <c r="R656" s="128"/>
      <c r="S656" s="128"/>
      <c r="T656" s="87"/>
      <c r="U656" s="87"/>
      <c r="V656" s="87"/>
      <c r="W656" s="87"/>
    </row>
    <row r="657" spans="1:23" s="66" customFormat="1" ht="13.8" x14ac:dyDescent="0.25">
      <c r="A657" s="34"/>
      <c r="B657" s="58" t="s">
        <v>569</v>
      </c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59"/>
      <c r="N657" s="98"/>
      <c r="O657" s="65"/>
      <c r="P657" s="87"/>
      <c r="Q657" s="128"/>
      <c r="R657" s="128"/>
      <c r="S657" s="128"/>
      <c r="T657" s="87"/>
      <c r="U657" s="87"/>
      <c r="V657" s="87"/>
      <c r="W657" s="87"/>
    </row>
    <row r="658" spans="1:23" s="66" customFormat="1" ht="13.8" x14ac:dyDescent="0.25">
      <c r="A658" s="34"/>
      <c r="B658" s="39"/>
      <c r="C658" s="40">
        <v>2</v>
      </c>
      <c r="D658" s="40"/>
      <c r="E658" s="40"/>
      <c r="F658" s="40"/>
      <c r="G658" s="40"/>
      <c r="H658" s="40">
        <f>+L626</f>
        <v>73.599999999999994</v>
      </c>
      <c r="I658" s="40"/>
      <c r="J658" s="40">
        <f t="shared" si="202"/>
        <v>73.599999999999994</v>
      </c>
      <c r="K658" s="40">
        <f t="shared" si="203"/>
        <v>147.19999999999999</v>
      </c>
      <c r="L658" s="40"/>
      <c r="M658" s="59"/>
      <c r="N658" s="98"/>
      <c r="O658" s="65"/>
      <c r="P658" s="87"/>
      <c r="Q658" s="128"/>
      <c r="R658" s="128"/>
      <c r="S658" s="128"/>
      <c r="T658" s="87"/>
      <c r="U658" s="87"/>
      <c r="V658" s="87"/>
      <c r="W658" s="87"/>
    </row>
    <row r="659" spans="1:23" s="66" customFormat="1" ht="13.8" x14ac:dyDescent="0.25">
      <c r="A659" s="34"/>
      <c r="B659" s="39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59"/>
      <c r="N659" s="98"/>
      <c r="O659" s="65"/>
      <c r="P659" s="87"/>
      <c r="Q659" s="128"/>
      <c r="R659" s="128"/>
      <c r="S659" s="128"/>
      <c r="T659" s="87"/>
      <c r="U659" s="87"/>
      <c r="V659" s="87"/>
      <c r="W659" s="87"/>
    </row>
    <row r="660" spans="1:23" s="66" customFormat="1" ht="13.8" x14ac:dyDescent="0.25">
      <c r="A660" s="34"/>
      <c r="B660" s="58" t="s">
        <v>219</v>
      </c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59"/>
      <c r="N660" s="98"/>
      <c r="O660" s="65"/>
      <c r="P660" s="87"/>
      <c r="Q660" s="128"/>
      <c r="R660" s="128"/>
      <c r="S660" s="128"/>
      <c r="T660" s="87"/>
      <c r="U660" s="87"/>
      <c r="V660" s="87"/>
      <c r="W660" s="87"/>
    </row>
    <row r="661" spans="1:23" s="66" customFormat="1" ht="13.8" x14ac:dyDescent="0.25">
      <c r="A661" s="34"/>
      <c r="B661" s="58" t="s">
        <v>106</v>
      </c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59"/>
      <c r="N661" s="98"/>
      <c r="O661" s="65"/>
      <c r="P661" s="87"/>
      <c r="Q661" s="128"/>
      <c r="R661" s="128"/>
      <c r="S661" s="128"/>
      <c r="T661" s="87"/>
      <c r="U661" s="87"/>
      <c r="V661" s="87"/>
      <c r="W661" s="87"/>
    </row>
    <row r="662" spans="1:23" s="66" customFormat="1" ht="13.8" x14ac:dyDescent="0.25">
      <c r="A662" s="34"/>
      <c r="B662" s="39" t="s">
        <v>534</v>
      </c>
      <c r="C662" s="40">
        <v>1</v>
      </c>
      <c r="D662" s="40">
        <f>1.8+5.2</f>
        <v>7</v>
      </c>
      <c r="E662" s="40">
        <v>0.2</v>
      </c>
      <c r="F662" s="40"/>
      <c r="G662" s="40"/>
      <c r="H662" s="40">
        <f>+E662*D662</f>
        <v>1.4000000000000001</v>
      </c>
      <c r="I662" s="40"/>
      <c r="J662" s="40">
        <f>+H662</f>
        <v>1.4000000000000001</v>
      </c>
      <c r="K662" s="40">
        <f>+J662*C662</f>
        <v>1.4000000000000001</v>
      </c>
      <c r="L662" s="40"/>
      <c r="M662" s="59"/>
      <c r="N662" s="98"/>
      <c r="O662" s="65"/>
      <c r="P662" s="87"/>
      <c r="Q662" s="128"/>
      <c r="R662" s="128"/>
      <c r="S662" s="128"/>
      <c r="T662" s="87"/>
      <c r="U662" s="87"/>
      <c r="V662" s="87"/>
      <c r="W662" s="87"/>
    </row>
    <row r="663" spans="1:23" s="66" customFormat="1" ht="13.8" x14ac:dyDescent="0.25">
      <c r="A663" s="34"/>
      <c r="B663" s="39" t="s">
        <v>535</v>
      </c>
      <c r="C663" s="40">
        <v>1</v>
      </c>
      <c r="D663" s="40">
        <f>5.2+1.4</f>
        <v>6.6</v>
      </c>
      <c r="E663" s="40">
        <v>0.2</v>
      </c>
      <c r="F663" s="40"/>
      <c r="G663" s="40"/>
      <c r="H663" s="40">
        <f>+E663*D663</f>
        <v>1.32</v>
      </c>
      <c r="I663" s="40"/>
      <c r="J663" s="40">
        <f>+H663</f>
        <v>1.32</v>
      </c>
      <c r="K663" s="40">
        <f>+J663*C663</f>
        <v>1.32</v>
      </c>
      <c r="L663" s="40"/>
      <c r="M663" s="59"/>
      <c r="N663" s="98"/>
      <c r="O663" s="65"/>
      <c r="P663" s="87"/>
      <c r="Q663" s="128"/>
      <c r="R663" s="128"/>
      <c r="S663" s="128"/>
      <c r="T663" s="87"/>
      <c r="U663" s="87"/>
      <c r="V663" s="87"/>
      <c r="W663" s="87"/>
    </row>
    <row r="664" spans="1:23" s="66" customFormat="1" ht="13.8" x14ac:dyDescent="0.25">
      <c r="A664" s="34"/>
      <c r="B664" s="39" t="s">
        <v>572</v>
      </c>
      <c r="C664" s="40">
        <v>1</v>
      </c>
      <c r="D664" s="40">
        <f>5.8+4.2</f>
        <v>10</v>
      </c>
      <c r="E664" s="40">
        <v>0.2</v>
      </c>
      <c r="F664" s="40"/>
      <c r="G664" s="40"/>
      <c r="H664" s="40">
        <f>+E664*D664</f>
        <v>2</v>
      </c>
      <c r="I664" s="40"/>
      <c r="J664" s="40">
        <f>+H664</f>
        <v>2</v>
      </c>
      <c r="K664" s="40">
        <f>+J664*C664</f>
        <v>2</v>
      </c>
      <c r="L664" s="40"/>
      <c r="M664" s="59"/>
      <c r="N664" s="98"/>
      <c r="O664" s="65"/>
      <c r="P664" s="87"/>
      <c r="Q664" s="128"/>
      <c r="R664" s="128"/>
      <c r="S664" s="128"/>
      <c r="T664" s="87"/>
      <c r="U664" s="87"/>
      <c r="V664" s="87"/>
      <c r="W664" s="87"/>
    </row>
    <row r="665" spans="1:23" s="66" customFormat="1" ht="13.8" x14ac:dyDescent="0.25">
      <c r="A665" s="34"/>
      <c r="B665" s="39" t="s">
        <v>539</v>
      </c>
      <c r="C665" s="40">
        <v>1</v>
      </c>
      <c r="D665" s="40">
        <f>3.6+5</f>
        <v>8.6</v>
      </c>
      <c r="E665" s="40">
        <v>0.2</v>
      </c>
      <c r="F665" s="40"/>
      <c r="G665" s="40"/>
      <c r="H665" s="40">
        <f>+E665*D665</f>
        <v>1.72</v>
      </c>
      <c r="I665" s="40"/>
      <c r="J665" s="40">
        <f>+H665</f>
        <v>1.72</v>
      </c>
      <c r="K665" s="40">
        <f>+J665*C665</f>
        <v>1.72</v>
      </c>
      <c r="L665" s="40"/>
      <c r="M665" s="59"/>
      <c r="N665" s="98"/>
      <c r="O665" s="65"/>
      <c r="P665" s="87"/>
      <c r="Q665" s="128"/>
      <c r="R665" s="128"/>
      <c r="S665" s="128"/>
      <c r="T665" s="87"/>
      <c r="U665" s="87"/>
      <c r="V665" s="87"/>
      <c r="W665" s="87"/>
    </row>
    <row r="666" spans="1:23" s="66" customFormat="1" ht="13.8" x14ac:dyDescent="0.25">
      <c r="A666" s="34"/>
      <c r="B666" s="39" t="s">
        <v>571</v>
      </c>
      <c r="C666" s="40">
        <v>1</v>
      </c>
      <c r="D666" s="40">
        <f>7.6+5</f>
        <v>12.6</v>
      </c>
      <c r="E666" s="40">
        <v>0.2</v>
      </c>
      <c r="F666" s="40"/>
      <c r="G666" s="40"/>
      <c r="H666" s="40">
        <f>+E666*D666</f>
        <v>2.52</v>
      </c>
      <c r="I666" s="40"/>
      <c r="J666" s="40">
        <f>+H666</f>
        <v>2.52</v>
      </c>
      <c r="K666" s="40">
        <f>+J666*C666</f>
        <v>2.52</v>
      </c>
      <c r="L666" s="40"/>
      <c r="M666" s="59"/>
      <c r="N666" s="98"/>
      <c r="O666" s="65"/>
      <c r="P666" s="87"/>
      <c r="Q666" s="128"/>
      <c r="R666" s="128"/>
      <c r="S666" s="128"/>
      <c r="T666" s="87"/>
      <c r="U666" s="87"/>
      <c r="V666" s="87"/>
      <c r="W666" s="87"/>
    </row>
    <row r="667" spans="1:23" s="66" customFormat="1" ht="13.8" x14ac:dyDescent="0.25">
      <c r="A667" s="34"/>
      <c r="B667" s="58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59"/>
      <c r="N667" s="98"/>
      <c r="O667" s="65"/>
      <c r="P667" s="87"/>
      <c r="Q667" s="128"/>
      <c r="R667" s="128"/>
      <c r="S667" s="128"/>
      <c r="T667" s="87"/>
      <c r="U667" s="87"/>
      <c r="V667" s="87"/>
      <c r="W667" s="87"/>
    </row>
    <row r="668" spans="1:23" s="66" customFormat="1" ht="13.8" x14ac:dyDescent="0.25">
      <c r="A668" s="34"/>
      <c r="B668" s="58" t="s">
        <v>107</v>
      </c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59"/>
      <c r="N668" s="98"/>
      <c r="O668" s="65"/>
      <c r="P668" s="87"/>
      <c r="Q668" s="128"/>
      <c r="R668" s="128"/>
      <c r="S668" s="128"/>
      <c r="T668" s="87"/>
      <c r="U668" s="87"/>
      <c r="V668" s="87"/>
      <c r="W668" s="87"/>
    </row>
    <row r="669" spans="1:23" s="66" customFormat="1" ht="13.8" x14ac:dyDescent="0.25">
      <c r="A669" s="34"/>
      <c r="B669" s="39" t="s">
        <v>548</v>
      </c>
      <c r="C669" s="40">
        <v>3</v>
      </c>
      <c r="D669" s="40">
        <f>3+0.8</f>
        <v>3.8</v>
      </c>
      <c r="E669" s="40">
        <v>0.2</v>
      </c>
      <c r="F669" s="40"/>
      <c r="G669" s="40"/>
      <c r="H669" s="40">
        <f t="shared" ref="H669:H671" si="210">+E669*D669</f>
        <v>0.76</v>
      </c>
      <c r="I669" s="40"/>
      <c r="J669" s="40">
        <f t="shared" ref="J669:J671" si="211">+H669</f>
        <v>0.76</v>
      </c>
      <c r="K669" s="40">
        <f t="shared" ref="K669:K671" si="212">+J669*C669</f>
        <v>2.2800000000000002</v>
      </c>
      <c r="L669" s="40"/>
      <c r="M669" s="59"/>
      <c r="N669" s="98"/>
      <c r="O669" s="65"/>
      <c r="P669" s="87"/>
      <c r="Q669" s="128"/>
      <c r="R669" s="128"/>
      <c r="S669" s="128"/>
      <c r="T669" s="87"/>
      <c r="U669" s="87"/>
      <c r="V669" s="87"/>
      <c r="W669" s="87"/>
    </row>
    <row r="670" spans="1:23" s="66" customFormat="1" ht="13.8" x14ac:dyDescent="0.25">
      <c r="A670" s="34"/>
      <c r="B670" s="39" t="s">
        <v>549</v>
      </c>
      <c r="C670" s="40">
        <v>1</v>
      </c>
      <c r="D670" s="40">
        <f>2.8+2.2</f>
        <v>5</v>
      </c>
      <c r="E670" s="40">
        <v>0.2</v>
      </c>
      <c r="F670" s="40"/>
      <c r="G670" s="40"/>
      <c r="H670" s="40">
        <f t="shared" si="210"/>
        <v>1</v>
      </c>
      <c r="I670" s="40"/>
      <c r="J670" s="40">
        <f t="shared" si="211"/>
        <v>1</v>
      </c>
      <c r="K670" s="40">
        <f t="shared" si="212"/>
        <v>1</v>
      </c>
      <c r="L670" s="40"/>
      <c r="M670" s="59"/>
      <c r="N670" s="98"/>
      <c r="O670" s="65"/>
      <c r="P670" s="87"/>
      <c r="Q670" s="128"/>
      <c r="R670" s="128"/>
      <c r="S670" s="128"/>
      <c r="T670" s="87"/>
      <c r="U670" s="87"/>
      <c r="V670" s="87"/>
      <c r="W670" s="87"/>
    </row>
    <row r="671" spans="1:23" s="66" customFormat="1" ht="13.8" x14ac:dyDescent="0.25">
      <c r="A671" s="34"/>
      <c r="B671" s="39" t="s">
        <v>550</v>
      </c>
      <c r="C671" s="40">
        <v>1</v>
      </c>
      <c r="D671" s="40">
        <f>4.4+2.2</f>
        <v>6.6000000000000005</v>
      </c>
      <c r="E671" s="40">
        <v>0.2</v>
      </c>
      <c r="F671" s="40"/>
      <c r="G671" s="40"/>
      <c r="H671" s="40">
        <f t="shared" si="210"/>
        <v>1.3200000000000003</v>
      </c>
      <c r="I671" s="40"/>
      <c r="J671" s="40">
        <f t="shared" si="211"/>
        <v>1.3200000000000003</v>
      </c>
      <c r="K671" s="40">
        <f t="shared" si="212"/>
        <v>1.3200000000000003</v>
      </c>
      <c r="L671" s="40"/>
      <c r="M671" s="59"/>
      <c r="N671" s="98"/>
      <c r="O671" s="65"/>
      <c r="P671" s="87"/>
      <c r="Q671" s="128"/>
      <c r="R671" s="128"/>
      <c r="S671" s="128"/>
      <c r="T671" s="87"/>
      <c r="U671" s="87"/>
      <c r="V671" s="87"/>
      <c r="W671" s="87"/>
    </row>
    <row r="672" spans="1:23" s="66" customFormat="1" ht="13.8" x14ac:dyDescent="0.25">
      <c r="A672" s="34"/>
      <c r="B672" s="39" t="s">
        <v>552</v>
      </c>
      <c r="C672" s="40">
        <v>7</v>
      </c>
      <c r="D672" s="40">
        <f>0.8+3</f>
        <v>3.8</v>
      </c>
      <c r="E672" s="40">
        <v>0.2</v>
      </c>
      <c r="F672" s="40"/>
      <c r="G672" s="40"/>
      <c r="H672" s="40">
        <f>+E672*D672</f>
        <v>0.76</v>
      </c>
      <c r="I672" s="40"/>
      <c r="J672" s="40">
        <f>+H672</f>
        <v>0.76</v>
      </c>
      <c r="K672" s="40">
        <f>+J672*C672</f>
        <v>5.32</v>
      </c>
      <c r="L672" s="40"/>
      <c r="M672" s="59"/>
      <c r="N672" s="98"/>
      <c r="O672" s="65"/>
      <c r="P672" s="87"/>
      <c r="Q672" s="128"/>
      <c r="R672" s="128"/>
      <c r="S672" s="128"/>
      <c r="T672" s="87"/>
      <c r="U672" s="87"/>
      <c r="V672" s="87"/>
      <c r="W672" s="87"/>
    </row>
    <row r="673" spans="1:23" s="66" customFormat="1" ht="13.8" x14ac:dyDescent="0.25">
      <c r="A673" s="34"/>
      <c r="B673" s="58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59"/>
      <c r="N673" s="98"/>
      <c r="O673" s="65"/>
      <c r="P673" s="87"/>
      <c r="Q673" s="128"/>
      <c r="R673" s="128"/>
      <c r="S673" s="128"/>
      <c r="T673" s="87"/>
      <c r="U673" s="87"/>
      <c r="V673" s="87"/>
      <c r="W673" s="87"/>
    </row>
    <row r="674" spans="1:23" s="66" customFormat="1" ht="13.8" x14ac:dyDescent="0.25">
      <c r="A674" s="34"/>
      <c r="B674" s="58" t="s">
        <v>204</v>
      </c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59"/>
      <c r="N674" s="98"/>
      <c r="O674" s="65"/>
      <c r="P674" s="87"/>
      <c r="Q674" s="128"/>
      <c r="R674" s="128"/>
      <c r="S674" s="128"/>
      <c r="T674" s="87"/>
      <c r="U674" s="87"/>
      <c r="V674" s="87"/>
      <c r="W674" s="87"/>
    </row>
    <row r="675" spans="1:23" s="66" customFormat="1" ht="13.8" x14ac:dyDescent="0.25">
      <c r="A675" s="34"/>
      <c r="B675" s="39" t="s">
        <v>548</v>
      </c>
      <c r="C675" s="40">
        <v>3</v>
      </c>
      <c r="D675" s="40">
        <f>0.8+2.2</f>
        <v>3</v>
      </c>
      <c r="E675" s="40">
        <v>0.2</v>
      </c>
      <c r="F675" s="40"/>
      <c r="G675" s="40"/>
      <c r="H675" s="40">
        <f>+E675*D675</f>
        <v>0.60000000000000009</v>
      </c>
      <c r="I675" s="40"/>
      <c r="J675" s="40">
        <f>+H675</f>
        <v>0.60000000000000009</v>
      </c>
      <c r="K675" s="40">
        <f>+J675*C675</f>
        <v>1.8000000000000003</v>
      </c>
      <c r="L675" s="40"/>
      <c r="M675" s="59"/>
      <c r="N675" s="98"/>
      <c r="O675" s="65"/>
      <c r="P675" s="87"/>
      <c r="Q675" s="128"/>
      <c r="R675" s="128"/>
      <c r="S675" s="128"/>
      <c r="T675" s="87"/>
      <c r="U675" s="87"/>
      <c r="V675" s="87"/>
      <c r="W675" s="87"/>
    </row>
    <row r="676" spans="1:23" s="66" customFormat="1" ht="13.8" x14ac:dyDescent="0.25">
      <c r="A676" s="34"/>
      <c r="B676" s="39" t="s">
        <v>549</v>
      </c>
      <c r="C676" s="40">
        <v>1</v>
      </c>
      <c r="D676" s="40">
        <f>7.2+2.2</f>
        <v>9.4</v>
      </c>
      <c r="E676" s="40">
        <v>0.2</v>
      </c>
      <c r="F676" s="40"/>
      <c r="G676" s="40"/>
      <c r="H676" s="40">
        <f>+E676*D676</f>
        <v>1.8800000000000001</v>
      </c>
      <c r="I676" s="40"/>
      <c r="J676" s="40">
        <f>+H676</f>
        <v>1.8800000000000001</v>
      </c>
      <c r="K676" s="40">
        <f>+J676*C676</f>
        <v>1.8800000000000001</v>
      </c>
      <c r="L676" s="40"/>
      <c r="M676" s="59"/>
      <c r="N676" s="98"/>
      <c r="O676" s="65"/>
      <c r="P676" s="87"/>
      <c r="Q676" s="128"/>
      <c r="R676" s="128"/>
      <c r="S676" s="128"/>
      <c r="T676" s="87"/>
      <c r="U676" s="87"/>
      <c r="V676" s="87"/>
      <c r="W676" s="87"/>
    </row>
    <row r="677" spans="1:23" s="66" customFormat="1" ht="13.8" x14ac:dyDescent="0.25">
      <c r="A677" s="34"/>
      <c r="B677" s="39" t="s">
        <v>550</v>
      </c>
      <c r="C677" s="40">
        <v>1</v>
      </c>
      <c r="D677" s="40">
        <f>4.4+2.2</f>
        <v>6.6000000000000005</v>
      </c>
      <c r="E677" s="40">
        <v>0.2</v>
      </c>
      <c r="F677" s="40"/>
      <c r="G677" s="40"/>
      <c r="H677" s="40">
        <f>+E677*D677</f>
        <v>1.3200000000000003</v>
      </c>
      <c r="I677" s="40"/>
      <c r="J677" s="40">
        <f>+H677</f>
        <v>1.3200000000000003</v>
      </c>
      <c r="K677" s="40">
        <f>+J677*C677</f>
        <v>1.3200000000000003</v>
      </c>
      <c r="L677" s="40"/>
      <c r="M677" s="59"/>
      <c r="N677" s="98"/>
      <c r="O677" s="65"/>
      <c r="P677" s="87"/>
      <c r="Q677" s="128"/>
      <c r="R677" s="128"/>
      <c r="S677" s="128"/>
      <c r="T677" s="87"/>
      <c r="U677" s="87"/>
      <c r="V677" s="87"/>
      <c r="W677" s="87"/>
    </row>
    <row r="678" spans="1:23" s="66" customFormat="1" ht="13.8" x14ac:dyDescent="0.25">
      <c r="A678" s="34"/>
      <c r="B678" s="39" t="s">
        <v>560</v>
      </c>
      <c r="C678" s="40">
        <v>1</v>
      </c>
      <c r="D678" s="40">
        <f>3.6+3</f>
        <v>6.6</v>
      </c>
      <c r="E678" s="40">
        <v>0.2</v>
      </c>
      <c r="F678" s="40"/>
      <c r="G678" s="40"/>
      <c r="H678" s="40">
        <f>+E678*D678</f>
        <v>1.32</v>
      </c>
      <c r="I678" s="40"/>
      <c r="J678" s="40">
        <f>+H678</f>
        <v>1.32</v>
      </c>
      <c r="K678" s="40">
        <f>+J678*C678</f>
        <v>1.32</v>
      </c>
      <c r="L678" s="40"/>
      <c r="M678" s="59"/>
      <c r="N678" s="98"/>
      <c r="O678" s="65"/>
      <c r="P678" s="87"/>
      <c r="Q678" s="128"/>
      <c r="R678" s="128"/>
      <c r="S678" s="128"/>
      <c r="T678" s="87"/>
      <c r="U678" s="87"/>
      <c r="V678" s="87"/>
      <c r="W678" s="87"/>
    </row>
    <row r="679" spans="1:23" s="66" customFormat="1" ht="13.8" x14ac:dyDescent="0.25">
      <c r="A679" s="34"/>
      <c r="B679" s="39" t="s">
        <v>552</v>
      </c>
      <c r="C679" s="40">
        <v>7</v>
      </c>
      <c r="D679" s="40">
        <f>0.8+3</f>
        <v>3.8</v>
      </c>
      <c r="E679" s="40">
        <v>0.2</v>
      </c>
      <c r="F679" s="40"/>
      <c r="G679" s="40"/>
      <c r="H679" s="40">
        <f>+E679*D679</f>
        <v>0.76</v>
      </c>
      <c r="I679" s="40"/>
      <c r="J679" s="40">
        <f>+H679</f>
        <v>0.76</v>
      </c>
      <c r="K679" s="40">
        <f>+J679*C679</f>
        <v>5.32</v>
      </c>
      <c r="L679" s="40"/>
      <c r="M679" s="59"/>
      <c r="N679" s="98"/>
      <c r="O679" s="65"/>
      <c r="P679" s="87"/>
      <c r="Q679" s="128"/>
      <c r="R679" s="128"/>
      <c r="S679" s="128"/>
      <c r="T679" s="87"/>
      <c r="U679" s="87"/>
      <c r="V679" s="87"/>
      <c r="W679" s="87"/>
    </row>
    <row r="680" spans="1:23" s="66" customFormat="1" ht="13.8" x14ac:dyDescent="0.25">
      <c r="A680" s="34"/>
      <c r="B680" s="68" t="s">
        <v>205</v>
      </c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59"/>
      <c r="N680" s="98"/>
      <c r="O680" s="65"/>
      <c r="P680" s="87"/>
      <c r="Q680" s="128"/>
      <c r="R680" s="128"/>
      <c r="S680" s="128"/>
      <c r="T680" s="87"/>
      <c r="U680" s="87"/>
      <c r="V680" s="87"/>
      <c r="W680" s="87"/>
    </row>
    <row r="681" spans="1:23" s="66" customFormat="1" ht="13.8" x14ac:dyDescent="0.25">
      <c r="A681" s="34"/>
      <c r="B681" s="39" t="s">
        <v>567</v>
      </c>
      <c r="C681" s="40">
        <v>2</v>
      </c>
      <c r="D681" s="40">
        <f>5.8+2.4</f>
        <v>8.1999999999999993</v>
      </c>
      <c r="E681" s="40">
        <v>0.2</v>
      </c>
      <c r="F681" s="40"/>
      <c r="G681" s="40"/>
      <c r="H681" s="40">
        <f t="shared" ref="H681:H682" si="213">+E681*D681</f>
        <v>1.64</v>
      </c>
      <c r="I681" s="40"/>
      <c r="J681" s="40">
        <f t="shared" ref="J681:J682" si="214">+H681</f>
        <v>1.64</v>
      </c>
      <c r="K681" s="40">
        <f t="shared" ref="K681:K682" si="215">+J681*C681</f>
        <v>3.28</v>
      </c>
      <c r="L681" s="40"/>
      <c r="M681" s="59"/>
      <c r="N681" s="98"/>
      <c r="O681" s="65"/>
      <c r="P681" s="87"/>
      <c r="Q681" s="128"/>
      <c r="R681" s="128"/>
      <c r="S681" s="128"/>
      <c r="T681" s="87"/>
      <c r="U681" s="87"/>
      <c r="V681" s="87"/>
      <c r="W681" s="87"/>
    </row>
    <row r="682" spans="1:23" s="66" customFormat="1" ht="13.8" x14ac:dyDescent="0.25">
      <c r="A682" s="34"/>
      <c r="B682" s="39" t="s">
        <v>568</v>
      </c>
      <c r="C682" s="40">
        <v>2</v>
      </c>
      <c r="D682" s="40">
        <f>7.8+2.4</f>
        <v>10.199999999999999</v>
      </c>
      <c r="E682" s="40">
        <v>0.2</v>
      </c>
      <c r="F682" s="40"/>
      <c r="G682" s="40"/>
      <c r="H682" s="40">
        <f t="shared" si="213"/>
        <v>2.04</v>
      </c>
      <c r="I682" s="40"/>
      <c r="J682" s="40">
        <f t="shared" si="214"/>
        <v>2.04</v>
      </c>
      <c r="K682" s="40">
        <f t="shared" si="215"/>
        <v>4.08</v>
      </c>
      <c r="L682" s="40"/>
      <c r="M682" s="59"/>
      <c r="N682" s="98"/>
      <c r="O682" s="65"/>
      <c r="P682" s="87"/>
      <c r="Q682" s="128"/>
      <c r="R682" s="128"/>
      <c r="S682" s="128"/>
      <c r="T682" s="87"/>
      <c r="U682" s="87"/>
      <c r="V682" s="87"/>
      <c r="W682" s="87"/>
    </row>
    <row r="683" spans="1:23" s="66" customFormat="1" ht="13.8" x14ac:dyDescent="0.25">
      <c r="A683" s="34"/>
      <c r="B683" s="58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59"/>
      <c r="N683" s="98"/>
      <c r="O683" s="65"/>
      <c r="P683" s="87"/>
      <c r="Q683" s="128"/>
      <c r="R683" s="128"/>
      <c r="S683" s="128"/>
      <c r="T683" s="87"/>
      <c r="U683" s="87"/>
      <c r="V683" s="87"/>
      <c r="W683" s="87"/>
    </row>
    <row r="684" spans="1:23" s="66" customFormat="1" ht="13.8" x14ac:dyDescent="0.25">
      <c r="A684" s="34"/>
      <c r="B684" s="163" t="s">
        <v>579</v>
      </c>
      <c r="C684" s="40"/>
      <c r="D684" s="40"/>
      <c r="E684" s="40"/>
      <c r="F684" s="40"/>
      <c r="G684" s="40"/>
      <c r="H684" s="40"/>
      <c r="I684" s="40"/>
      <c r="J684" s="40"/>
      <c r="K684" s="40">
        <f>+SUM(K686:K695)</f>
        <v>13.400400000000003</v>
      </c>
      <c r="L684" s="40">
        <v>1.05</v>
      </c>
      <c r="M684" s="59">
        <f>+K684*L684</f>
        <v>14.070420000000004</v>
      </c>
      <c r="N684" s="59" t="s">
        <v>11</v>
      </c>
      <c r="O684" s="65"/>
      <c r="P684" s="87"/>
      <c r="Q684" s="128"/>
      <c r="R684" s="128"/>
      <c r="S684" s="128"/>
      <c r="T684" s="87"/>
      <c r="U684" s="87"/>
      <c r="V684" s="87"/>
      <c r="W684" s="87"/>
    </row>
    <row r="685" spans="1:23" s="66" customFormat="1" ht="13.8" x14ac:dyDescent="0.25">
      <c r="A685" s="34"/>
      <c r="B685" s="58" t="s">
        <v>108</v>
      </c>
      <c r="C685" s="40"/>
      <c r="D685" s="40"/>
      <c r="E685" s="40"/>
      <c r="F685" s="40"/>
      <c r="G685" s="40"/>
      <c r="H685" s="40"/>
      <c r="I685" s="40"/>
      <c r="J685" s="40"/>
      <c r="K685" s="59"/>
      <c r="L685" s="59"/>
      <c r="M685" s="59"/>
      <c r="N685" s="97"/>
      <c r="O685" s="65"/>
      <c r="P685" s="87"/>
      <c r="Q685" s="128"/>
      <c r="R685" s="128"/>
      <c r="S685" s="128"/>
      <c r="T685" s="87"/>
      <c r="U685" s="87"/>
      <c r="V685" s="87"/>
      <c r="W685" s="87"/>
    </row>
    <row r="686" spans="1:23" s="66" customFormat="1" ht="13.8" x14ac:dyDescent="0.25">
      <c r="A686" s="34"/>
      <c r="B686" s="35"/>
      <c r="C686" s="40">
        <v>2</v>
      </c>
      <c r="D686" s="40">
        <v>0.25</v>
      </c>
      <c r="E686" s="40"/>
      <c r="F686" s="40"/>
      <c r="G686" s="40"/>
      <c r="H686" s="40">
        <v>0.36</v>
      </c>
      <c r="I686" s="40">
        <f>+H686*D686</f>
        <v>0.09</v>
      </c>
      <c r="J686" s="40">
        <f t="shared" ref="J686" si="216">+I686</f>
        <v>0.09</v>
      </c>
      <c r="K686" s="40">
        <f t="shared" ref="K686" si="217">+J686*C686</f>
        <v>0.18</v>
      </c>
      <c r="L686" s="131"/>
      <c r="M686" s="59"/>
      <c r="N686" s="97"/>
      <c r="O686" s="65"/>
      <c r="P686" s="87"/>
      <c r="Q686" s="128"/>
      <c r="R686" s="128"/>
      <c r="S686" s="128"/>
      <c r="T686" s="87"/>
      <c r="U686" s="87"/>
      <c r="V686" s="87"/>
      <c r="W686" s="87"/>
    </row>
    <row r="687" spans="1:23" s="66" customFormat="1" ht="13.8" x14ac:dyDescent="0.25">
      <c r="A687" s="34"/>
      <c r="B687" s="35"/>
      <c r="C687" s="40">
        <v>2</v>
      </c>
      <c r="D687" s="40">
        <v>0.25</v>
      </c>
      <c r="E687" s="40"/>
      <c r="F687" s="40"/>
      <c r="G687" s="40"/>
      <c r="H687" s="40">
        <v>0.36</v>
      </c>
      <c r="I687" s="40">
        <f>+H687*D687</f>
        <v>0.09</v>
      </c>
      <c r="J687" s="40">
        <f t="shared" ref="J687" si="218">+I687</f>
        <v>0.09</v>
      </c>
      <c r="K687" s="40">
        <f t="shared" ref="K687" si="219">+J687*C687</f>
        <v>0.18</v>
      </c>
      <c r="L687" s="131"/>
      <c r="M687" s="59"/>
      <c r="N687" s="97"/>
      <c r="O687" s="65"/>
      <c r="P687" s="87"/>
      <c r="Q687" s="128"/>
      <c r="R687" s="128"/>
      <c r="S687" s="128"/>
      <c r="T687" s="87"/>
      <c r="U687" s="87"/>
      <c r="V687" s="87"/>
      <c r="W687" s="87"/>
    </row>
    <row r="688" spans="1:23" s="66" customFormat="1" ht="13.8" x14ac:dyDescent="0.25">
      <c r="A688" s="34"/>
      <c r="B688" s="58" t="s">
        <v>580</v>
      </c>
      <c r="C688" s="40"/>
      <c r="D688" s="40"/>
      <c r="E688" s="40"/>
      <c r="F688" s="40"/>
      <c r="G688" s="40"/>
      <c r="H688" s="40"/>
      <c r="I688" s="40"/>
      <c r="J688" s="40"/>
      <c r="K688" s="59"/>
      <c r="L688" s="40"/>
      <c r="M688" s="59"/>
      <c r="N688" s="98"/>
      <c r="O688" s="65"/>
      <c r="P688" s="87"/>
      <c r="Q688" s="128"/>
      <c r="R688" s="128"/>
      <c r="S688" s="128"/>
      <c r="T688" s="87"/>
      <c r="U688" s="87"/>
      <c r="V688" s="87"/>
      <c r="W688" s="87"/>
    </row>
    <row r="689" spans="1:23" s="66" customFormat="1" ht="13.8" x14ac:dyDescent="0.25">
      <c r="A689" s="34"/>
      <c r="B689" s="35"/>
      <c r="C689" s="40">
        <v>1</v>
      </c>
      <c r="D689" s="40">
        <v>9.1999999999999993</v>
      </c>
      <c r="E689" s="40"/>
      <c r="F689" s="40"/>
      <c r="G689" s="40"/>
      <c r="H689" s="40">
        <v>0.33</v>
      </c>
      <c r="I689" s="40">
        <f>+H689*D689</f>
        <v>3.036</v>
      </c>
      <c r="J689" s="40">
        <f t="shared" ref="J689" si="220">+I689</f>
        <v>3.036</v>
      </c>
      <c r="K689" s="40">
        <f t="shared" ref="K689" si="221">+J689*C689</f>
        <v>3.036</v>
      </c>
      <c r="L689" s="40"/>
      <c r="M689" s="59"/>
      <c r="N689" s="98"/>
      <c r="O689" s="65"/>
      <c r="P689" s="87"/>
      <c r="Q689" s="128"/>
      <c r="R689" s="128"/>
      <c r="S689" s="128"/>
      <c r="T689" s="87"/>
      <c r="U689" s="87"/>
      <c r="V689" s="87"/>
      <c r="W689" s="87"/>
    </row>
    <row r="690" spans="1:23" s="66" customFormat="1" ht="13.8" x14ac:dyDescent="0.25">
      <c r="A690" s="34"/>
      <c r="B690" s="58" t="s">
        <v>581</v>
      </c>
      <c r="C690" s="40"/>
      <c r="D690" s="40"/>
      <c r="E690" s="40"/>
      <c r="F690" s="40"/>
      <c r="G690" s="40"/>
      <c r="H690" s="40"/>
      <c r="I690" s="40"/>
      <c r="J690" s="40"/>
      <c r="K690" s="59"/>
      <c r="L690" s="40"/>
      <c r="M690" s="59"/>
      <c r="N690" s="98"/>
      <c r="O690" s="65"/>
      <c r="P690" s="87"/>
      <c r="Q690" s="128"/>
      <c r="R690" s="128"/>
      <c r="S690" s="128"/>
      <c r="T690" s="87"/>
      <c r="U690" s="87"/>
      <c r="V690" s="87"/>
      <c r="W690" s="87"/>
    </row>
    <row r="691" spans="1:23" s="66" customFormat="1" ht="13.8" x14ac:dyDescent="0.25">
      <c r="A691" s="34"/>
      <c r="B691" s="35"/>
      <c r="C691" s="40">
        <v>1</v>
      </c>
      <c r="D691" s="40">
        <v>14.88</v>
      </c>
      <c r="E691" s="40"/>
      <c r="F691" s="40"/>
      <c r="G691" s="40"/>
      <c r="H691" s="40">
        <v>0.63</v>
      </c>
      <c r="I691" s="40">
        <f>+H691*D691</f>
        <v>9.3744000000000014</v>
      </c>
      <c r="J691" s="40">
        <f t="shared" ref="J691" si="222">+I691</f>
        <v>9.3744000000000014</v>
      </c>
      <c r="K691" s="40">
        <f t="shared" ref="K691" si="223">+J691*C691</f>
        <v>9.3744000000000014</v>
      </c>
      <c r="L691" s="40"/>
      <c r="M691" s="59"/>
      <c r="N691" s="98"/>
      <c r="O691" s="65"/>
      <c r="P691" s="87"/>
      <c r="Q691" s="128"/>
      <c r="R691" s="128"/>
      <c r="S691" s="128"/>
      <c r="T691" s="87"/>
      <c r="U691" s="87"/>
      <c r="V691" s="87"/>
      <c r="W691" s="87"/>
    </row>
    <row r="692" spans="1:23" s="66" customFormat="1" ht="13.8" x14ac:dyDescent="0.25">
      <c r="A692" s="34"/>
      <c r="B692" s="58" t="s">
        <v>370</v>
      </c>
      <c r="C692" s="40"/>
      <c r="D692" s="40"/>
      <c r="E692" s="40"/>
      <c r="F692" s="40"/>
      <c r="G692" s="40"/>
      <c r="H692" s="40"/>
      <c r="I692" s="40"/>
      <c r="J692" s="40"/>
      <c r="K692" s="59"/>
      <c r="L692" s="40"/>
      <c r="M692" s="59"/>
      <c r="N692" s="98"/>
      <c r="O692" s="65"/>
      <c r="P692" s="87"/>
      <c r="Q692" s="128"/>
      <c r="R692" s="128"/>
      <c r="S692" s="128"/>
      <c r="T692" s="87"/>
      <c r="U692" s="87"/>
      <c r="V692" s="87"/>
      <c r="W692" s="87"/>
    </row>
    <row r="693" spans="1:23" s="66" customFormat="1" ht="13.8" x14ac:dyDescent="0.25">
      <c r="A693" s="34"/>
      <c r="B693" s="35"/>
      <c r="C693" s="40">
        <v>1</v>
      </c>
      <c r="D693" s="40">
        <v>3</v>
      </c>
      <c r="E693" s="40"/>
      <c r="F693" s="40"/>
      <c r="G693" s="40"/>
      <c r="H693" s="40">
        <v>0.21</v>
      </c>
      <c r="I693" s="40">
        <f>+H693*D693</f>
        <v>0.63</v>
      </c>
      <c r="J693" s="40">
        <f t="shared" ref="J693" si="224">+I693</f>
        <v>0.63</v>
      </c>
      <c r="K693" s="40">
        <f t="shared" ref="K693" si="225">+J693*C693</f>
        <v>0.63</v>
      </c>
      <c r="L693" s="40"/>
      <c r="M693" s="59"/>
      <c r="N693" s="98"/>
      <c r="O693" s="65"/>
      <c r="P693" s="87"/>
      <c r="Q693" s="128"/>
      <c r="R693" s="128"/>
      <c r="S693" s="128"/>
      <c r="T693" s="87"/>
      <c r="U693" s="87"/>
      <c r="V693" s="87"/>
      <c r="W693" s="87"/>
    </row>
    <row r="694" spans="1:23" s="66" customFormat="1" ht="13.8" x14ac:dyDescent="0.25">
      <c r="A694" s="34"/>
      <c r="B694" s="58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59"/>
      <c r="N694" s="98"/>
      <c r="O694" s="65"/>
      <c r="P694" s="87"/>
      <c r="Q694" s="128"/>
      <c r="R694" s="128"/>
      <c r="S694" s="128"/>
      <c r="T694" s="87"/>
      <c r="U694" s="87"/>
      <c r="V694" s="87"/>
      <c r="W694" s="87"/>
    </row>
    <row r="695" spans="1:23" s="66" customFormat="1" ht="13.8" x14ac:dyDescent="0.25">
      <c r="A695" s="34"/>
      <c r="B695" s="58" t="s">
        <v>369</v>
      </c>
      <c r="C695" s="40"/>
      <c r="D695" s="40"/>
      <c r="E695" s="40"/>
      <c r="F695" s="40"/>
      <c r="G695" s="40"/>
      <c r="H695" s="40"/>
      <c r="I695" s="40"/>
      <c r="J695" s="40"/>
      <c r="K695" s="59"/>
      <c r="L695" s="40"/>
      <c r="M695" s="59"/>
      <c r="N695" s="98"/>
      <c r="O695" s="65"/>
      <c r="P695" s="87"/>
      <c r="Q695" s="128"/>
      <c r="R695" s="128"/>
      <c r="S695" s="128"/>
      <c r="T695" s="87"/>
      <c r="U695" s="87"/>
      <c r="V695" s="87"/>
      <c r="W695" s="87"/>
    </row>
    <row r="696" spans="1:23" s="66" customFormat="1" ht="13.8" x14ac:dyDescent="0.25">
      <c r="A696" s="34"/>
      <c r="B696" s="64"/>
      <c r="C696" s="40"/>
      <c r="D696" s="40"/>
      <c r="E696" s="40"/>
      <c r="F696" s="40"/>
      <c r="G696" s="40"/>
      <c r="H696" s="157"/>
      <c r="I696" s="40"/>
      <c r="J696" s="40"/>
      <c r="K696" s="40"/>
      <c r="L696" s="40"/>
      <c r="M696" s="131"/>
      <c r="N696" s="98"/>
      <c r="O696" s="65"/>
      <c r="P696" s="87"/>
      <c r="Q696" s="128"/>
      <c r="R696" s="128"/>
      <c r="S696" s="128"/>
      <c r="T696" s="87"/>
      <c r="U696" s="87"/>
      <c r="V696" s="87"/>
      <c r="W696" s="87"/>
    </row>
    <row r="697" spans="1:23" s="66" customFormat="1" ht="13.8" x14ac:dyDescent="0.25">
      <c r="A697" s="34"/>
      <c r="B697" s="166" t="s">
        <v>250</v>
      </c>
      <c r="C697" s="40"/>
      <c r="D697" s="40"/>
      <c r="E697" s="40"/>
      <c r="F697" s="40"/>
      <c r="G697" s="40"/>
      <c r="H697" s="40"/>
      <c r="I697" s="40"/>
      <c r="J697" s="40"/>
      <c r="K697" s="40"/>
      <c r="L697" s="40">
        <v>1.05</v>
      </c>
      <c r="M697" s="59">
        <f>+SUM(K699:K724)*L697</f>
        <v>457.89450000000005</v>
      </c>
      <c r="N697" s="97" t="s">
        <v>7</v>
      </c>
      <c r="O697" s="65"/>
      <c r="P697" s="87"/>
      <c r="Q697" s="128"/>
      <c r="R697" s="128"/>
      <c r="S697" s="128"/>
      <c r="T697" s="87"/>
      <c r="U697" s="87"/>
      <c r="V697" s="87"/>
      <c r="W697" s="87"/>
    </row>
    <row r="698" spans="1:23" s="66" customFormat="1" ht="13.8" x14ac:dyDescent="0.25">
      <c r="A698" s="34"/>
      <c r="B698" s="68" t="s">
        <v>107</v>
      </c>
      <c r="C698" s="40"/>
      <c r="D698" s="106"/>
      <c r="E698" s="106"/>
      <c r="F698" s="106"/>
      <c r="G698" s="106"/>
      <c r="H698" s="157"/>
      <c r="I698" s="106"/>
      <c r="J698" s="106"/>
      <c r="K698" s="106"/>
      <c r="L698" s="106"/>
      <c r="M698" s="167"/>
      <c r="N698" s="168"/>
      <c r="O698" s="169"/>
      <c r="P698" s="170"/>
      <c r="Q698" s="171"/>
      <c r="R698" s="171"/>
      <c r="S698" s="171"/>
      <c r="T698" s="170"/>
      <c r="U698" s="170"/>
      <c r="V698" s="170"/>
      <c r="W698" s="170"/>
    </row>
    <row r="699" spans="1:23" s="66" customFormat="1" ht="13.8" x14ac:dyDescent="0.25">
      <c r="A699" s="34"/>
      <c r="B699" s="64" t="s">
        <v>201</v>
      </c>
      <c r="C699" s="40">
        <v>1</v>
      </c>
      <c r="D699" s="106"/>
      <c r="E699" s="106"/>
      <c r="F699" s="106"/>
      <c r="G699" s="106"/>
      <c r="H699" s="157">
        <v>39.950000000000003</v>
      </c>
      <c r="I699" s="106"/>
      <c r="J699" s="106">
        <f t="shared" ref="J699:J709" si="226">+H699</f>
        <v>39.950000000000003</v>
      </c>
      <c r="K699" s="106">
        <f t="shared" ref="K699:K709" si="227">+J699*C699</f>
        <v>39.950000000000003</v>
      </c>
      <c r="L699" s="106"/>
      <c r="M699" s="167"/>
      <c r="N699" s="168"/>
      <c r="O699" s="169"/>
      <c r="P699" s="170"/>
      <c r="Q699" s="171"/>
      <c r="R699" s="171"/>
      <c r="S699" s="171"/>
      <c r="T699" s="170"/>
      <c r="U699" s="170"/>
      <c r="V699" s="170"/>
      <c r="W699" s="170"/>
    </row>
    <row r="700" spans="1:23" s="66" customFormat="1" ht="13.8" x14ac:dyDescent="0.25">
      <c r="A700" s="34"/>
      <c r="B700" s="64" t="s">
        <v>584</v>
      </c>
      <c r="C700" s="40">
        <v>1</v>
      </c>
      <c r="D700" s="40"/>
      <c r="E700" s="40"/>
      <c r="F700" s="40"/>
      <c r="G700" s="40"/>
      <c r="H700" s="157">
        <v>22.5</v>
      </c>
      <c r="I700" s="40"/>
      <c r="J700" s="106">
        <f t="shared" si="226"/>
        <v>22.5</v>
      </c>
      <c r="K700" s="106">
        <f t="shared" si="227"/>
        <v>22.5</v>
      </c>
      <c r="L700" s="106"/>
      <c r="M700" s="131"/>
      <c r="N700" s="98"/>
      <c r="O700" s="65"/>
      <c r="P700" s="87"/>
      <c r="Q700" s="128"/>
      <c r="R700" s="128"/>
      <c r="S700" s="128"/>
      <c r="T700" s="87"/>
      <c r="U700" s="87"/>
      <c r="V700" s="87"/>
      <c r="W700" s="87"/>
    </row>
    <row r="701" spans="1:23" s="66" customFormat="1" ht="13.8" x14ac:dyDescent="0.25">
      <c r="A701" s="34"/>
      <c r="B701" s="64" t="s">
        <v>225</v>
      </c>
      <c r="C701" s="40">
        <v>1</v>
      </c>
      <c r="D701" s="40"/>
      <c r="E701" s="40"/>
      <c r="F701" s="40"/>
      <c r="G701" s="40"/>
      <c r="H701" s="157">
        <v>2.1</v>
      </c>
      <c r="I701" s="40"/>
      <c r="J701" s="106">
        <f t="shared" si="226"/>
        <v>2.1</v>
      </c>
      <c r="K701" s="106">
        <f t="shared" si="227"/>
        <v>2.1</v>
      </c>
      <c r="L701" s="106"/>
      <c r="M701" s="131"/>
      <c r="N701" s="98"/>
      <c r="O701" s="65"/>
      <c r="P701" s="87"/>
      <c r="Q701" s="128"/>
      <c r="R701" s="128"/>
      <c r="S701" s="128"/>
      <c r="T701" s="87"/>
      <c r="U701" s="87"/>
      <c r="V701" s="87"/>
      <c r="W701" s="87"/>
    </row>
    <row r="702" spans="1:23" s="66" customFormat="1" ht="13.8" x14ac:dyDescent="0.25">
      <c r="A702" s="34"/>
      <c r="B702" s="64" t="s">
        <v>585</v>
      </c>
      <c r="C702" s="40">
        <v>1</v>
      </c>
      <c r="D702" s="40"/>
      <c r="E702" s="40"/>
      <c r="F702" s="40"/>
      <c r="G702" s="40"/>
      <c r="H702" s="157">
        <v>3.5</v>
      </c>
      <c r="I702" s="40"/>
      <c r="J702" s="106">
        <f t="shared" si="226"/>
        <v>3.5</v>
      </c>
      <c r="K702" s="106">
        <f t="shared" si="227"/>
        <v>3.5</v>
      </c>
      <c r="L702" s="106"/>
      <c r="M702" s="131"/>
      <c r="N702" s="98"/>
      <c r="O702" s="65"/>
      <c r="P702" s="87"/>
      <c r="Q702" s="128"/>
      <c r="R702" s="128"/>
      <c r="S702" s="128"/>
      <c r="T702" s="87"/>
      <c r="U702" s="87"/>
      <c r="V702" s="87"/>
      <c r="W702" s="87"/>
    </row>
    <row r="703" spans="1:23" s="66" customFormat="1" ht="13.8" x14ac:dyDescent="0.25">
      <c r="A703" s="34"/>
      <c r="B703" s="64" t="s">
        <v>586</v>
      </c>
      <c r="C703" s="40">
        <v>1</v>
      </c>
      <c r="D703" s="40"/>
      <c r="E703" s="40"/>
      <c r="F703" s="40"/>
      <c r="G703" s="40"/>
      <c r="H703" s="157">
        <v>4.9000000000000004</v>
      </c>
      <c r="I703" s="40"/>
      <c r="J703" s="106">
        <f t="shared" si="226"/>
        <v>4.9000000000000004</v>
      </c>
      <c r="K703" s="106">
        <f t="shared" si="227"/>
        <v>4.9000000000000004</v>
      </c>
      <c r="L703" s="106"/>
      <c r="M703" s="131"/>
      <c r="N703" s="98"/>
      <c r="O703" s="65"/>
      <c r="P703" s="87"/>
      <c r="Q703" s="128"/>
      <c r="R703" s="128"/>
      <c r="S703" s="128"/>
      <c r="T703" s="87"/>
      <c r="U703" s="87"/>
      <c r="V703" s="87"/>
      <c r="W703" s="87"/>
    </row>
    <row r="704" spans="1:23" s="66" customFormat="1" ht="13.8" x14ac:dyDescent="0.25">
      <c r="A704" s="34"/>
      <c r="B704" s="64" t="s">
        <v>134</v>
      </c>
      <c r="C704" s="40">
        <v>1</v>
      </c>
      <c r="D704" s="40"/>
      <c r="E704" s="40"/>
      <c r="F704" s="40"/>
      <c r="G704" s="40"/>
      <c r="H704" s="157">
        <v>3.3</v>
      </c>
      <c r="I704" s="40"/>
      <c r="J704" s="106">
        <f t="shared" si="226"/>
        <v>3.3</v>
      </c>
      <c r="K704" s="106">
        <f t="shared" si="227"/>
        <v>3.3</v>
      </c>
      <c r="L704" s="106"/>
      <c r="M704" s="131"/>
      <c r="N704" s="98"/>
      <c r="O704" s="65"/>
      <c r="P704" s="87"/>
      <c r="Q704" s="128"/>
      <c r="R704" s="128"/>
      <c r="S704" s="128"/>
      <c r="T704" s="87"/>
      <c r="U704" s="87"/>
      <c r="V704" s="87"/>
      <c r="W704" s="87"/>
    </row>
    <row r="705" spans="1:23" s="66" customFormat="1" ht="13.8" x14ac:dyDescent="0.25">
      <c r="A705" s="34"/>
      <c r="B705" s="64" t="s">
        <v>199</v>
      </c>
      <c r="C705" s="40">
        <v>1</v>
      </c>
      <c r="D705" s="40"/>
      <c r="E705" s="40"/>
      <c r="F705" s="40"/>
      <c r="G705" s="40"/>
      <c r="H705" s="157">
        <v>28.1</v>
      </c>
      <c r="I705" s="40"/>
      <c r="J705" s="106">
        <f t="shared" si="226"/>
        <v>28.1</v>
      </c>
      <c r="K705" s="106">
        <f t="shared" si="227"/>
        <v>28.1</v>
      </c>
      <c r="L705" s="106"/>
      <c r="M705" s="131"/>
      <c r="N705" s="98"/>
      <c r="O705" s="65"/>
      <c r="P705" s="87"/>
      <c r="Q705" s="128"/>
      <c r="R705" s="128"/>
      <c r="S705" s="128"/>
      <c r="T705" s="87"/>
      <c r="U705" s="87"/>
      <c r="V705" s="87"/>
      <c r="W705" s="87"/>
    </row>
    <row r="706" spans="1:23" s="66" customFormat="1" ht="13.8" x14ac:dyDescent="0.25">
      <c r="A706" s="34"/>
      <c r="B706" s="64" t="s">
        <v>589</v>
      </c>
      <c r="C706" s="40">
        <v>1</v>
      </c>
      <c r="D706" s="40"/>
      <c r="E706" s="40"/>
      <c r="F706" s="40"/>
      <c r="G706" s="40"/>
      <c r="H706" s="157">
        <v>14.6</v>
      </c>
      <c r="I706" s="40"/>
      <c r="J706" s="106">
        <f t="shared" si="226"/>
        <v>14.6</v>
      </c>
      <c r="K706" s="106">
        <f t="shared" si="227"/>
        <v>14.6</v>
      </c>
      <c r="L706" s="106"/>
      <c r="M706" s="131"/>
      <c r="N706" s="98"/>
      <c r="O706" s="65"/>
      <c r="P706" s="87"/>
      <c r="Q706" s="128"/>
      <c r="R706" s="128"/>
      <c r="S706" s="128"/>
      <c r="T706" s="87"/>
      <c r="U706" s="87"/>
      <c r="V706" s="87"/>
      <c r="W706" s="87"/>
    </row>
    <row r="707" spans="1:23" s="66" customFormat="1" ht="13.8" x14ac:dyDescent="0.25">
      <c r="A707" s="34"/>
      <c r="B707" s="64" t="s">
        <v>587</v>
      </c>
      <c r="C707" s="40">
        <v>1</v>
      </c>
      <c r="D707" s="40"/>
      <c r="E707" s="40"/>
      <c r="F707" s="40"/>
      <c r="G707" s="40"/>
      <c r="H707" s="157">
        <v>19.100000000000001</v>
      </c>
      <c r="I707" s="40"/>
      <c r="J707" s="106">
        <f t="shared" si="226"/>
        <v>19.100000000000001</v>
      </c>
      <c r="K707" s="106">
        <f t="shared" si="227"/>
        <v>19.100000000000001</v>
      </c>
      <c r="L707" s="106"/>
      <c r="M707" s="131"/>
      <c r="N707" s="98"/>
      <c r="O707" s="65"/>
      <c r="P707" s="87"/>
      <c r="Q707" s="128"/>
      <c r="R707" s="128"/>
      <c r="S707" s="128"/>
      <c r="T707" s="87"/>
      <c r="U707" s="87"/>
      <c r="V707" s="87"/>
      <c r="W707" s="87"/>
    </row>
    <row r="708" spans="1:23" s="66" customFormat="1" ht="13.8" x14ac:dyDescent="0.25">
      <c r="A708" s="34"/>
      <c r="B708" s="64" t="s">
        <v>588</v>
      </c>
      <c r="C708" s="40">
        <v>1</v>
      </c>
      <c r="D708" s="40"/>
      <c r="E708" s="40"/>
      <c r="F708" s="40"/>
      <c r="G708" s="40"/>
      <c r="H708" s="157">
        <v>17.5</v>
      </c>
      <c r="I708" s="40"/>
      <c r="J708" s="106">
        <f t="shared" si="226"/>
        <v>17.5</v>
      </c>
      <c r="K708" s="106">
        <f t="shared" si="227"/>
        <v>17.5</v>
      </c>
      <c r="L708" s="106"/>
      <c r="M708" s="131"/>
      <c r="N708" s="98"/>
      <c r="O708" s="65"/>
      <c r="P708" s="87"/>
      <c r="Q708" s="128"/>
      <c r="R708" s="128"/>
      <c r="S708" s="128"/>
      <c r="T708" s="87"/>
      <c r="U708" s="87"/>
      <c r="V708" s="87"/>
      <c r="W708" s="87"/>
    </row>
    <row r="709" spans="1:23" s="66" customFormat="1" ht="13.8" x14ac:dyDescent="0.25">
      <c r="A709" s="34"/>
      <c r="B709" s="64" t="s">
        <v>590</v>
      </c>
      <c r="C709" s="40">
        <v>1</v>
      </c>
      <c r="D709" s="40"/>
      <c r="E709" s="40"/>
      <c r="F709" s="40"/>
      <c r="G709" s="40"/>
      <c r="H709" s="157">
        <v>11.84</v>
      </c>
      <c r="I709" s="40"/>
      <c r="J709" s="106">
        <f t="shared" si="226"/>
        <v>11.84</v>
      </c>
      <c r="K709" s="106">
        <f t="shared" si="227"/>
        <v>11.84</v>
      </c>
      <c r="L709" s="106"/>
      <c r="M709" s="131"/>
      <c r="N709" s="98"/>
      <c r="O709" s="65"/>
      <c r="P709" s="87"/>
      <c r="Q709" s="128"/>
      <c r="R709" s="128"/>
      <c r="S709" s="128"/>
      <c r="T709" s="87"/>
      <c r="U709" s="87"/>
      <c r="V709" s="87"/>
      <c r="W709" s="87"/>
    </row>
    <row r="710" spans="1:23" s="66" customFormat="1" ht="13.8" x14ac:dyDescent="0.25">
      <c r="A710" s="34"/>
      <c r="B710" s="68" t="s">
        <v>204</v>
      </c>
      <c r="C710" s="40"/>
      <c r="D710" s="40"/>
      <c r="E710" s="40"/>
      <c r="F710" s="40"/>
      <c r="G710" s="40"/>
      <c r="H710" s="157"/>
      <c r="I710" s="40"/>
      <c r="J710" s="106"/>
      <c r="K710" s="106"/>
      <c r="L710" s="106"/>
      <c r="M710" s="131"/>
      <c r="N710" s="98"/>
      <c r="O710" s="65"/>
      <c r="P710" s="87"/>
      <c r="Q710" s="128"/>
      <c r="R710" s="128"/>
      <c r="S710" s="128"/>
      <c r="T710" s="87"/>
      <c r="U710" s="87"/>
      <c r="V710" s="87"/>
      <c r="W710" s="87"/>
    </row>
    <row r="711" spans="1:23" s="66" customFormat="1" ht="13.8" x14ac:dyDescent="0.25">
      <c r="A711" s="34"/>
      <c r="B711" s="64" t="s">
        <v>594</v>
      </c>
      <c r="C711" s="40">
        <v>1</v>
      </c>
      <c r="D711" s="40"/>
      <c r="E711" s="40"/>
      <c r="F711" s="40"/>
      <c r="G711" s="40"/>
      <c r="H711" s="157">
        <v>39.9</v>
      </c>
      <c r="I711" s="40"/>
      <c r="J711" s="106">
        <f t="shared" ref="J711:J719" si="228">+H711</f>
        <v>39.9</v>
      </c>
      <c r="K711" s="106">
        <f t="shared" ref="K711:K719" si="229">+J711*C711</f>
        <v>39.9</v>
      </c>
      <c r="L711" s="106"/>
      <c r="M711" s="131"/>
      <c r="N711" s="98"/>
      <c r="O711" s="65"/>
      <c r="P711" s="87"/>
      <c r="Q711" s="128"/>
      <c r="R711" s="128"/>
      <c r="S711" s="128"/>
      <c r="T711" s="87"/>
      <c r="U711" s="87"/>
      <c r="V711" s="87"/>
      <c r="W711" s="87"/>
    </row>
    <row r="712" spans="1:23" s="66" customFormat="1" ht="13.8" x14ac:dyDescent="0.25">
      <c r="A712" s="34"/>
      <c r="B712" s="64" t="s">
        <v>584</v>
      </c>
      <c r="C712" s="40">
        <v>1</v>
      </c>
      <c r="D712" s="40"/>
      <c r="E712" s="40"/>
      <c r="F712" s="40"/>
      <c r="G712" s="40"/>
      <c r="H712" s="157">
        <v>12.1</v>
      </c>
      <c r="I712" s="40"/>
      <c r="J712" s="106">
        <f t="shared" si="228"/>
        <v>12.1</v>
      </c>
      <c r="K712" s="106">
        <f t="shared" si="229"/>
        <v>12.1</v>
      </c>
      <c r="L712" s="106"/>
      <c r="M712" s="131"/>
      <c r="N712" s="98"/>
      <c r="O712" s="65"/>
      <c r="P712" s="87"/>
      <c r="Q712" s="128"/>
      <c r="R712" s="128"/>
      <c r="S712" s="128"/>
      <c r="T712" s="87"/>
      <c r="U712" s="87"/>
      <c r="V712" s="87"/>
      <c r="W712" s="87"/>
    </row>
    <row r="713" spans="1:23" s="66" customFormat="1" ht="13.8" x14ac:dyDescent="0.25">
      <c r="A713" s="34"/>
      <c r="B713" s="64" t="s">
        <v>134</v>
      </c>
      <c r="C713" s="40">
        <v>1</v>
      </c>
      <c r="D713" s="40"/>
      <c r="E713" s="40"/>
      <c r="F713" s="40"/>
      <c r="G713" s="40"/>
      <c r="H713" s="157">
        <v>4.0999999999999996</v>
      </c>
      <c r="I713" s="40"/>
      <c r="J713" s="106">
        <f t="shared" si="228"/>
        <v>4.0999999999999996</v>
      </c>
      <c r="K713" s="106">
        <f t="shared" si="229"/>
        <v>4.0999999999999996</v>
      </c>
      <c r="L713" s="106"/>
      <c r="M713" s="131"/>
      <c r="N713" s="98"/>
      <c r="O713" s="65"/>
      <c r="P713" s="87"/>
      <c r="Q713" s="128"/>
      <c r="R713" s="128"/>
      <c r="S713" s="128"/>
      <c r="T713" s="87"/>
      <c r="U713" s="87"/>
      <c r="V713" s="87"/>
      <c r="W713" s="87"/>
    </row>
    <row r="714" spans="1:23" s="66" customFormat="1" ht="13.8" x14ac:dyDescent="0.25">
      <c r="A714" s="34"/>
      <c r="B714" s="64" t="s">
        <v>199</v>
      </c>
      <c r="C714" s="40">
        <v>1</v>
      </c>
      <c r="D714" s="40"/>
      <c r="E714" s="40"/>
      <c r="F714" s="40"/>
      <c r="G714" s="40"/>
      <c r="H714" s="157">
        <v>18.100000000000001</v>
      </c>
      <c r="I714" s="40"/>
      <c r="J714" s="106">
        <f t="shared" si="228"/>
        <v>18.100000000000001</v>
      </c>
      <c r="K714" s="106">
        <f t="shared" si="229"/>
        <v>18.100000000000001</v>
      </c>
      <c r="L714" s="106"/>
      <c r="M714" s="131"/>
      <c r="N714" s="98"/>
      <c r="O714" s="65"/>
      <c r="P714" s="87"/>
      <c r="Q714" s="128"/>
      <c r="R714" s="128"/>
      <c r="S714" s="128"/>
      <c r="T714" s="87"/>
      <c r="U714" s="87"/>
      <c r="V714" s="87"/>
      <c r="W714" s="87"/>
    </row>
    <row r="715" spans="1:23" s="66" customFormat="1" ht="13.8" x14ac:dyDescent="0.25">
      <c r="A715" s="34"/>
      <c r="B715" s="64" t="s">
        <v>586</v>
      </c>
      <c r="C715" s="40">
        <v>1</v>
      </c>
      <c r="D715" s="40"/>
      <c r="E715" s="40"/>
      <c r="F715" s="40"/>
      <c r="G715" s="40"/>
      <c r="H715" s="157">
        <v>3.5</v>
      </c>
      <c r="I715" s="40"/>
      <c r="J715" s="106">
        <f t="shared" si="228"/>
        <v>3.5</v>
      </c>
      <c r="K715" s="106">
        <f t="shared" si="229"/>
        <v>3.5</v>
      </c>
      <c r="L715" s="106"/>
      <c r="M715" s="131"/>
      <c r="N715" s="98"/>
      <c r="O715" s="65"/>
      <c r="P715" s="87"/>
      <c r="Q715" s="128"/>
      <c r="R715" s="128"/>
      <c r="S715" s="128"/>
      <c r="T715" s="87"/>
      <c r="U715" s="87"/>
      <c r="V715" s="87"/>
      <c r="W715" s="87"/>
    </row>
    <row r="716" spans="1:23" s="66" customFormat="1" ht="13.8" x14ac:dyDescent="0.25">
      <c r="A716" s="34"/>
      <c r="B716" s="64" t="s">
        <v>591</v>
      </c>
      <c r="C716" s="40">
        <v>1</v>
      </c>
      <c r="D716" s="40"/>
      <c r="E716" s="40"/>
      <c r="F716" s="40"/>
      <c r="G716" s="40"/>
      <c r="H716" s="157">
        <v>4.9000000000000004</v>
      </c>
      <c r="I716" s="40"/>
      <c r="J716" s="106">
        <f t="shared" si="228"/>
        <v>4.9000000000000004</v>
      </c>
      <c r="K716" s="106">
        <f t="shared" si="229"/>
        <v>4.9000000000000004</v>
      </c>
      <c r="L716" s="106"/>
      <c r="M716" s="131"/>
      <c r="N716" s="98"/>
      <c r="O716" s="65"/>
      <c r="P716" s="87"/>
      <c r="Q716" s="128"/>
      <c r="R716" s="128"/>
      <c r="S716" s="128"/>
      <c r="T716" s="87"/>
      <c r="U716" s="87"/>
      <c r="V716" s="87"/>
      <c r="W716" s="87"/>
    </row>
    <row r="717" spans="1:23" s="66" customFormat="1" ht="13.8" x14ac:dyDescent="0.25">
      <c r="A717" s="34"/>
      <c r="B717" s="64" t="s">
        <v>592</v>
      </c>
      <c r="C717" s="40">
        <v>1</v>
      </c>
      <c r="D717" s="40"/>
      <c r="E717" s="40"/>
      <c r="F717" s="40"/>
      <c r="G717" s="40"/>
      <c r="H717" s="157">
        <v>31.1</v>
      </c>
      <c r="I717" s="40"/>
      <c r="J717" s="106">
        <f t="shared" si="228"/>
        <v>31.1</v>
      </c>
      <c r="K717" s="106">
        <f t="shared" si="229"/>
        <v>31.1</v>
      </c>
      <c r="L717" s="106"/>
      <c r="M717" s="131"/>
      <c r="N717" s="98"/>
      <c r="O717" s="65"/>
      <c r="P717" s="87"/>
      <c r="Q717" s="128"/>
      <c r="R717" s="128"/>
      <c r="S717" s="128"/>
      <c r="T717" s="87"/>
      <c r="U717" s="87"/>
      <c r="V717" s="87"/>
      <c r="W717" s="87"/>
    </row>
    <row r="718" spans="1:23" s="66" customFormat="1" ht="13.8" x14ac:dyDescent="0.25">
      <c r="A718" s="34"/>
      <c r="B718" s="64" t="s">
        <v>554</v>
      </c>
      <c r="C718" s="40">
        <v>1</v>
      </c>
      <c r="D718" s="40"/>
      <c r="E718" s="40"/>
      <c r="F718" s="40"/>
      <c r="G718" s="40"/>
      <c r="H718" s="157">
        <v>12.7</v>
      </c>
      <c r="I718" s="40"/>
      <c r="J718" s="106">
        <f t="shared" si="228"/>
        <v>12.7</v>
      </c>
      <c r="K718" s="106">
        <f t="shared" si="229"/>
        <v>12.7</v>
      </c>
      <c r="L718" s="106"/>
      <c r="M718" s="131"/>
      <c r="N718" s="98"/>
      <c r="O718" s="65"/>
      <c r="P718" s="87"/>
      <c r="Q718" s="128"/>
      <c r="R718" s="128"/>
      <c r="S718" s="128"/>
      <c r="T718" s="87"/>
      <c r="U718" s="87"/>
      <c r="V718" s="87"/>
      <c r="W718" s="87"/>
    </row>
    <row r="719" spans="1:23" s="66" customFormat="1" ht="13.8" x14ac:dyDescent="0.25">
      <c r="A719" s="34"/>
      <c r="B719" s="64" t="s">
        <v>593</v>
      </c>
      <c r="C719" s="40">
        <v>1</v>
      </c>
      <c r="D719" s="40"/>
      <c r="E719" s="40"/>
      <c r="F719" s="40"/>
      <c r="G719" s="40"/>
      <c r="H719" s="157">
        <v>33.700000000000003</v>
      </c>
      <c r="I719" s="40"/>
      <c r="J719" s="106">
        <f t="shared" si="228"/>
        <v>33.700000000000003</v>
      </c>
      <c r="K719" s="106">
        <f t="shared" si="229"/>
        <v>33.700000000000003</v>
      </c>
      <c r="L719" s="106"/>
      <c r="M719" s="131"/>
      <c r="N719" s="98"/>
      <c r="O719" s="65"/>
      <c r="P719" s="87"/>
      <c r="Q719" s="128"/>
      <c r="R719" s="128"/>
      <c r="S719" s="128"/>
      <c r="T719" s="87"/>
      <c r="U719" s="87"/>
      <c r="V719" s="87"/>
      <c r="W719" s="87"/>
    </row>
    <row r="720" spans="1:23" s="66" customFormat="1" ht="13.8" x14ac:dyDescent="0.25">
      <c r="A720" s="34"/>
      <c r="B720" s="64"/>
      <c r="C720" s="40"/>
      <c r="D720" s="40"/>
      <c r="E720" s="40"/>
      <c r="F720" s="40"/>
      <c r="G720" s="40"/>
      <c r="H720" s="157"/>
      <c r="I720" s="40"/>
      <c r="J720" s="106"/>
      <c r="K720" s="106"/>
      <c r="L720" s="106"/>
      <c r="M720" s="131"/>
      <c r="N720" s="98"/>
      <c r="O720" s="65"/>
      <c r="P720" s="87"/>
      <c r="Q720" s="128"/>
      <c r="R720" s="128"/>
      <c r="S720" s="128"/>
      <c r="T720" s="87"/>
      <c r="U720" s="87"/>
      <c r="V720" s="87"/>
      <c r="W720" s="87"/>
    </row>
    <row r="721" spans="1:23" s="66" customFormat="1" ht="13.8" x14ac:dyDescent="0.25">
      <c r="A721" s="34"/>
      <c r="B721" s="68" t="s">
        <v>205</v>
      </c>
      <c r="C721" s="40"/>
      <c r="D721" s="40"/>
      <c r="E721" s="40"/>
      <c r="F721" s="40"/>
      <c r="G721" s="40"/>
      <c r="H721" s="157"/>
      <c r="I721" s="40"/>
      <c r="J721" s="106"/>
      <c r="K721" s="106"/>
      <c r="L721" s="106"/>
      <c r="M721" s="131"/>
      <c r="N721" s="98"/>
      <c r="O721" s="65"/>
      <c r="P721" s="87"/>
      <c r="Q721" s="128"/>
      <c r="R721" s="128"/>
      <c r="S721" s="128"/>
      <c r="T721" s="87"/>
      <c r="U721" s="87"/>
      <c r="V721" s="87"/>
      <c r="W721" s="87"/>
    </row>
    <row r="722" spans="1:23" s="66" customFormat="1" ht="13.8" x14ac:dyDescent="0.25">
      <c r="A722" s="34"/>
      <c r="B722" s="64" t="s">
        <v>595</v>
      </c>
      <c r="C722" s="40">
        <v>1</v>
      </c>
      <c r="D722" s="40"/>
      <c r="E722" s="40"/>
      <c r="F722" s="40"/>
      <c r="G722" s="40"/>
      <c r="H722" s="157">
        <v>10.6</v>
      </c>
      <c r="I722" s="40"/>
      <c r="J722" s="106">
        <f t="shared" ref="J722:J724" si="230">+H722</f>
        <v>10.6</v>
      </c>
      <c r="K722" s="106">
        <f t="shared" ref="K722:K724" si="231">+J722*C722</f>
        <v>10.6</v>
      </c>
      <c r="L722" s="106"/>
      <c r="M722" s="131"/>
      <c r="N722" s="98"/>
      <c r="O722" s="65"/>
      <c r="P722" s="87"/>
      <c r="Q722" s="128"/>
      <c r="R722" s="128"/>
      <c r="S722" s="128"/>
      <c r="T722" s="87"/>
      <c r="U722" s="87"/>
      <c r="V722" s="87"/>
      <c r="W722" s="87"/>
    </row>
    <row r="723" spans="1:23" s="66" customFormat="1" ht="13.8" x14ac:dyDescent="0.25">
      <c r="A723" s="34"/>
      <c r="B723" s="64" t="s">
        <v>581</v>
      </c>
      <c r="C723" s="40">
        <v>1</v>
      </c>
      <c r="D723" s="40"/>
      <c r="E723" s="40"/>
      <c r="F723" s="40"/>
      <c r="G723" s="40"/>
      <c r="H723" s="157">
        <v>93.9</v>
      </c>
      <c r="I723" s="40"/>
      <c r="J723" s="106">
        <f t="shared" si="230"/>
        <v>93.9</v>
      </c>
      <c r="K723" s="106">
        <f t="shared" si="231"/>
        <v>93.9</v>
      </c>
      <c r="L723" s="106"/>
      <c r="M723" s="131"/>
      <c r="N723" s="98"/>
      <c r="O723" s="65"/>
      <c r="P723" s="87"/>
      <c r="Q723" s="128"/>
      <c r="R723" s="128"/>
      <c r="S723" s="128"/>
      <c r="T723" s="87"/>
      <c r="U723" s="87"/>
      <c r="V723" s="87"/>
      <c r="W723" s="87"/>
    </row>
    <row r="724" spans="1:23" s="66" customFormat="1" ht="13.8" x14ac:dyDescent="0.25">
      <c r="A724" s="34"/>
      <c r="B724" s="64" t="s">
        <v>292</v>
      </c>
      <c r="C724" s="40">
        <v>1</v>
      </c>
      <c r="D724" s="40"/>
      <c r="E724" s="40"/>
      <c r="F724" s="40"/>
      <c r="G724" s="40"/>
      <c r="H724" s="157">
        <v>4.0999999999999996</v>
      </c>
      <c r="I724" s="40"/>
      <c r="J724" s="106">
        <f t="shared" si="230"/>
        <v>4.0999999999999996</v>
      </c>
      <c r="K724" s="106">
        <f t="shared" si="231"/>
        <v>4.0999999999999996</v>
      </c>
      <c r="L724" s="106"/>
      <c r="M724" s="131"/>
      <c r="N724" s="98"/>
      <c r="O724" s="65"/>
      <c r="P724" s="87"/>
      <c r="Q724" s="128"/>
      <c r="R724" s="128"/>
      <c r="S724" s="128"/>
      <c r="T724" s="87"/>
      <c r="U724" s="87"/>
      <c r="V724" s="87"/>
      <c r="W724" s="87"/>
    </row>
    <row r="725" spans="1:23" s="66" customFormat="1" ht="13.8" x14ac:dyDescent="0.25">
      <c r="A725" s="34"/>
      <c r="B725" s="39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59"/>
      <c r="N725" s="98"/>
      <c r="O725" s="65"/>
      <c r="P725" s="87"/>
      <c r="Q725" s="128"/>
      <c r="R725" s="128"/>
      <c r="S725" s="128"/>
      <c r="T725" s="87"/>
      <c r="U725" s="87"/>
      <c r="V725" s="87"/>
      <c r="W725" s="87"/>
    </row>
    <row r="726" spans="1:23" s="66" customFormat="1" ht="13.8" x14ac:dyDescent="0.25">
      <c r="A726" s="34"/>
      <c r="B726" s="176" t="s">
        <v>214</v>
      </c>
      <c r="C726" s="40"/>
      <c r="D726" s="40"/>
      <c r="E726" s="40"/>
      <c r="F726" s="40"/>
      <c r="G726" s="40"/>
      <c r="H726" s="40"/>
      <c r="I726" s="40"/>
      <c r="J726" s="40"/>
      <c r="K726" s="40"/>
      <c r="L726" s="40">
        <v>1.05</v>
      </c>
      <c r="M726" s="177">
        <f>+SUM(K728:K769)*L726</f>
        <v>706.84950000000003</v>
      </c>
      <c r="N726" s="178" t="s">
        <v>7</v>
      </c>
      <c r="O726" s="65"/>
      <c r="P726" s="87"/>
      <c r="Q726" s="128"/>
      <c r="R726" s="128"/>
      <c r="S726" s="128"/>
      <c r="T726" s="87"/>
      <c r="U726" s="87"/>
      <c r="V726" s="87"/>
      <c r="W726" s="87"/>
    </row>
    <row r="727" spans="1:23" s="66" customFormat="1" ht="13.8" x14ac:dyDescent="0.25">
      <c r="A727" s="34"/>
      <c r="B727" s="68" t="s">
        <v>106</v>
      </c>
      <c r="C727" s="40"/>
      <c r="D727" s="40"/>
      <c r="E727" s="40"/>
      <c r="F727" s="40"/>
      <c r="G727" s="40"/>
      <c r="H727" s="157"/>
      <c r="I727" s="40"/>
      <c r="J727" s="40"/>
      <c r="K727" s="40"/>
      <c r="L727" s="40"/>
      <c r="M727" s="131"/>
      <c r="N727" s="98"/>
      <c r="O727" s="65"/>
      <c r="P727" s="87"/>
      <c r="Q727" s="128"/>
      <c r="R727" s="128"/>
      <c r="S727" s="128"/>
      <c r="T727" s="87"/>
      <c r="U727" s="87"/>
      <c r="V727" s="87"/>
      <c r="W727" s="87"/>
    </row>
    <row r="728" spans="1:23" s="66" customFormat="1" ht="13.8" x14ac:dyDescent="0.25">
      <c r="A728" s="34"/>
      <c r="B728" s="39" t="s">
        <v>369</v>
      </c>
      <c r="C728" s="40">
        <v>1</v>
      </c>
      <c r="D728" s="40"/>
      <c r="E728" s="40"/>
      <c r="F728" s="40"/>
      <c r="G728" s="40"/>
      <c r="H728" s="40">
        <v>14.95</v>
      </c>
      <c r="I728" s="106"/>
      <c r="J728" s="106">
        <f>+H728</f>
        <v>14.95</v>
      </c>
      <c r="K728" s="106">
        <f>+J728*C728</f>
        <v>14.95</v>
      </c>
      <c r="L728" s="106"/>
      <c r="M728" s="167"/>
      <c r="N728" s="168"/>
      <c r="O728" s="169"/>
      <c r="P728" s="170"/>
      <c r="Q728" s="171"/>
      <c r="R728" s="171"/>
      <c r="S728" s="171"/>
      <c r="T728" s="170"/>
      <c r="U728" s="170"/>
      <c r="V728" s="170"/>
      <c r="W728" s="170"/>
    </row>
    <row r="729" spans="1:23" s="66" customFormat="1" ht="13.8" x14ac:dyDescent="0.25">
      <c r="A729" s="34"/>
      <c r="B729" s="39" t="s">
        <v>200</v>
      </c>
      <c r="C729" s="40">
        <v>1</v>
      </c>
      <c r="D729" s="40"/>
      <c r="E729" s="40"/>
      <c r="F729" s="40"/>
      <c r="G729" s="40"/>
      <c r="H729" s="40">
        <v>20.95</v>
      </c>
      <c r="I729" s="106"/>
      <c r="J729" s="106">
        <f t="shared" ref="J729:J760" si="232">+H729</f>
        <v>20.95</v>
      </c>
      <c r="K729" s="106">
        <f t="shared" ref="K729:K760" si="233">+J729*C729</f>
        <v>20.95</v>
      </c>
      <c r="L729" s="106"/>
      <c r="M729" s="167"/>
      <c r="N729" s="168"/>
      <c r="O729" s="169"/>
      <c r="P729" s="170"/>
      <c r="Q729" s="171"/>
      <c r="R729" s="171"/>
      <c r="S729" s="171"/>
      <c r="T729" s="170"/>
      <c r="U729" s="170"/>
      <c r="V729" s="170"/>
      <c r="W729" s="170"/>
    </row>
    <row r="730" spans="1:23" s="66" customFormat="1" ht="13.8" x14ac:dyDescent="0.25">
      <c r="A730" s="34"/>
      <c r="B730" s="39" t="s">
        <v>199</v>
      </c>
      <c r="C730" s="40">
        <v>1</v>
      </c>
      <c r="D730" s="40"/>
      <c r="E730" s="40"/>
      <c r="F730" s="40"/>
      <c r="G730" s="40"/>
      <c r="H730" s="40">
        <v>29.1</v>
      </c>
      <c r="I730" s="106"/>
      <c r="J730" s="106">
        <f t="shared" si="232"/>
        <v>29.1</v>
      </c>
      <c r="K730" s="106">
        <f t="shared" si="233"/>
        <v>29.1</v>
      </c>
      <c r="L730" s="106"/>
      <c r="M730" s="167"/>
      <c r="N730" s="168"/>
      <c r="O730" s="169"/>
      <c r="P730" s="170"/>
      <c r="Q730" s="171"/>
      <c r="R730" s="171"/>
      <c r="S730" s="171"/>
      <c r="T730" s="170"/>
      <c r="U730" s="170"/>
      <c r="V730" s="170"/>
      <c r="W730" s="170"/>
    </row>
    <row r="731" spans="1:23" s="66" customFormat="1" ht="13.8" x14ac:dyDescent="0.25">
      <c r="A731" s="34"/>
      <c r="B731" s="39" t="s">
        <v>582</v>
      </c>
      <c r="C731" s="40">
        <v>1</v>
      </c>
      <c r="D731" s="40"/>
      <c r="E731" s="40"/>
      <c r="F731" s="40"/>
      <c r="G731" s="40"/>
      <c r="H731" s="40">
        <v>23.95</v>
      </c>
      <c r="I731" s="106"/>
      <c r="J731" s="106">
        <f t="shared" si="232"/>
        <v>23.95</v>
      </c>
      <c r="K731" s="106">
        <f t="shared" si="233"/>
        <v>23.95</v>
      </c>
      <c r="L731" s="106"/>
      <c r="M731" s="167"/>
      <c r="N731" s="168"/>
      <c r="O731" s="169"/>
      <c r="P731" s="170"/>
      <c r="Q731" s="171"/>
      <c r="R731" s="171"/>
      <c r="S731" s="171"/>
      <c r="T731" s="170"/>
      <c r="U731" s="170"/>
      <c r="V731" s="170"/>
      <c r="W731" s="170"/>
    </row>
    <row r="732" spans="1:23" s="66" customFormat="1" ht="13.8" x14ac:dyDescent="0.25">
      <c r="A732" s="34"/>
      <c r="B732" s="39" t="s">
        <v>583</v>
      </c>
      <c r="C732" s="40">
        <v>1</v>
      </c>
      <c r="D732" s="40"/>
      <c r="E732" s="40"/>
      <c r="F732" s="40"/>
      <c r="G732" s="40"/>
      <c r="H732" s="40">
        <v>4.3</v>
      </c>
      <c r="I732" s="106"/>
      <c r="J732" s="106">
        <f t="shared" si="232"/>
        <v>4.3</v>
      </c>
      <c r="K732" s="106">
        <f t="shared" si="233"/>
        <v>4.3</v>
      </c>
      <c r="L732" s="106"/>
      <c r="M732" s="167"/>
      <c r="N732" s="168"/>
      <c r="O732" s="169"/>
      <c r="P732" s="170"/>
      <c r="Q732" s="171"/>
      <c r="R732" s="171"/>
      <c r="S732" s="171"/>
      <c r="T732" s="170"/>
      <c r="U732" s="170"/>
      <c r="V732" s="170"/>
      <c r="W732" s="170"/>
    </row>
    <row r="733" spans="1:23" s="66" customFormat="1" ht="13.8" x14ac:dyDescent="0.25">
      <c r="A733" s="34"/>
      <c r="B733" s="39" t="s">
        <v>134</v>
      </c>
      <c r="C733" s="40">
        <v>1</v>
      </c>
      <c r="D733" s="40"/>
      <c r="E733" s="40"/>
      <c r="F733" s="40"/>
      <c r="G733" s="40"/>
      <c r="H733" s="40">
        <v>1.65</v>
      </c>
      <c r="I733" s="106"/>
      <c r="J733" s="106">
        <f t="shared" si="232"/>
        <v>1.65</v>
      </c>
      <c r="K733" s="106">
        <f t="shared" si="233"/>
        <v>1.65</v>
      </c>
      <c r="L733" s="106"/>
      <c r="M733" s="167"/>
      <c r="N733" s="168"/>
      <c r="O733" s="169"/>
      <c r="P733" s="170"/>
      <c r="Q733" s="171"/>
      <c r="R733" s="171"/>
      <c r="S733" s="171"/>
      <c r="T733" s="170"/>
      <c r="U733" s="170"/>
      <c r="V733" s="170"/>
      <c r="W733" s="170"/>
    </row>
    <row r="734" spans="1:23" s="66" customFormat="1" ht="13.8" x14ac:dyDescent="0.25">
      <c r="A734" s="34"/>
      <c r="B734" s="39" t="s">
        <v>460</v>
      </c>
      <c r="C734" s="40">
        <v>1</v>
      </c>
      <c r="D734" s="40"/>
      <c r="E734" s="40"/>
      <c r="F734" s="40"/>
      <c r="G734" s="40"/>
      <c r="H734" s="40">
        <v>20.5</v>
      </c>
      <c r="I734" s="106"/>
      <c r="J734" s="106">
        <f t="shared" si="232"/>
        <v>20.5</v>
      </c>
      <c r="K734" s="106">
        <f t="shared" si="233"/>
        <v>20.5</v>
      </c>
      <c r="L734" s="106"/>
      <c r="M734" s="167"/>
      <c r="N734" s="168"/>
      <c r="O734" s="169"/>
      <c r="P734" s="170"/>
      <c r="Q734" s="171"/>
      <c r="R734" s="171"/>
      <c r="S734" s="171"/>
      <c r="T734" s="170"/>
      <c r="U734" s="170"/>
      <c r="V734" s="170"/>
      <c r="W734" s="170"/>
    </row>
    <row r="735" spans="1:23" s="66" customFormat="1" ht="13.8" x14ac:dyDescent="0.25">
      <c r="A735" s="34"/>
      <c r="B735" s="64" t="s">
        <v>370</v>
      </c>
      <c r="C735" s="40">
        <v>1</v>
      </c>
      <c r="D735" s="40"/>
      <c r="E735" s="40"/>
      <c r="F735" s="40"/>
      <c r="G735" s="40"/>
      <c r="H735" s="40">
        <v>16.5</v>
      </c>
      <c r="I735" s="106"/>
      <c r="J735" s="106">
        <f t="shared" si="232"/>
        <v>16.5</v>
      </c>
      <c r="K735" s="106">
        <f t="shared" si="233"/>
        <v>16.5</v>
      </c>
      <c r="L735" s="106"/>
      <c r="M735" s="167"/>
      <c r="N735" s="168"/>
      <c r="O735" s="169"/>
      <c r="P735" s="170"/>
      <c r="Q735" s="171"/>
      <c r="R735" s="171"/>
      <c r="S735" s="171"/>
      <c r="T735" s="170"/>
      <c r="U735" s="170"/>
      <c r="V735" s="170"/>
      <c r="W735" s="170"/>
    </row>
    <row r="736" spans="1:23" s="66" customFormat="1" ht="13.8" x14ac:dyDescent="0.25">
      <c r="A736" s="34"/>
      <c r="B736" s="68"/>
      <c r="C736" s="106"/>
      <c r="D736" s="106"/>
      <c r="E736" s="106"/>
      <c r="F736" s="106"/>
      <c r="G736" s="106"/>
      <c r="H736" s="157"/>
      <c r="I736" s="106"/>
      <c r="J736" s="106"/>
      <c r="K736" s="106"/>
      <c r="L736" s="106"/>
      <c r="M736" s="167"/>
      <c r="N736" s="168"/>
      <c r="O736" s="169"/>
      <c r="P736" s="170"/>
      <c r="Q736" s="171"/>
      <c r="R736" s="171"/>
      <c r="S736" s="171"/>
      <c r="T736" s="170"/>
      <c r="U736" s="170"/>
      <c r="V736" s="170"/>
      <c r="W736" s="170"/>
    </row>
    <row r="737" spans="1:23" s="66" customFormat="1" ht="13.8" x14ac:dyDescent="0.25">
      <c r="A737" s="34"/>
      <c r="B737" s="68" t="s">
        <v>107</v>
      </c>
      <c r="C737" s="40"/>
      <c r="D737" s="106"/>
      <c r="E737" s="106"/>
      <c r="F737" s="106"/>
      <c r="G737" s="106"/>
      <c r="H737" s="157"/>
      <c r="I737" s="106"/>
      <c r="J737" s="106"/>
      <c r="K737" s="106"/>
      <c r="L737" s="106"/>
      <c r="M737" s="167"/>
      <c r="N737" s="168"/>
      <c r="O737" s="169"/>
      <c r="P737" s="170"/>
      <c r="Q737" s="171"/>
      <c r="R737" s="171"/>
      <c r="S737" s="171"/>
      <c r="T737" s="170"/>
      <c r="U737" s="170"/>
      <c r="V737" s="170"/>
      <c r="W737" s="170"/>
    </row>
    <row r="738" spans="1:23" s="66" customFormat="1" ht="13.8" x14ac:dyDescent="0.25">
      <c r="A738" s="34"/>
      <c r="B738" s="64" t="s">
        <v>201</v>
      </c>
      <c r="C738" s="40">
        <v>1</v>
      </c>
      <c r="D738" s="106"/>
      <c r="E738" s="106"/>
      <c r="F738" s="106"/>
      <c r="G738" s="106"/>
      <c r="H738" s="157">
        <v>39.950000000000003</v>
      </c>
      <c r="I738" s="106"/>
      <c r="J738" s="106">
        <f t="shared" si="232"/>
        <v>39.950000000000003</v>
      </c>
      <c r="K738" s="106">
        <f t="shared" si="233"/>
        <v>39.950000000000003</v>
      </c>
      <c r="L738" s="106"/>
      <c r="M738" s="167"/>
      <c r="N738" s="168"/>
      <c r="O738" s="169"/>
      <c r="P738" s="170"/>
      <c r="Q738" s="171"/>
      <c r="R738" s="171"/>
      <c r="S738" s="171"/>
      <c r="T738" s="170"/>
      <c r="U738" s="170"/>
      <c r="V738" s="170"/>
      <c r="W738" s="170"/>
    </row>
    <row r="739" spans="1:23" s="66" customFormat="1" ht="13.8" x14ac:dyDescent="0.25">
      <c r="A739" s="34"/>
      <c r="B739" s="64" t="s">
        <v>584</v>
      </c>
      <c r="C739" s="40">
        <v>1</v>
      </c>
      <c r="D739" s="40"/>
      <c r="E739" s="40"/>
      <c r="F739" s="40"/>
      <c r="G739" s="40"/>
      <c r="H739" s="157">
        <v>22.5</v>
      </c>
      <c r="I739" s="40"/>
      <c r="J739" s="106">
        <f t="shared" si="232"/>
        <v>22.5</v>
      </c>
      <c r="K739" s="106">
        <f t="shared" si="233"/>
        <v>22.5</v>
      </c>
      <c r="L739" s="106"/>
      <c r="M739" s="131"/>
      <c r="N739" s="98"/>
      <c r="O739" s="65"/>
      <c r="P739" s="87"/>
      <c r="Q739" s="128"/>
      <c r="R739" s="128"/>
      <c r="S739" s="128"/>
      <c r="T739" s="87"/>
      <c r="U739" s="87"/>
      <c r="V739" s="87"/>
      <c r="W739" s="87"/>
    </row>
    <row r="740" spans="1:23" s="66" customFormat="1" ht="13.8" x14ac:dyDescent="0.25">
      <c r="A740" s="34"/>
      <c r="B740" s="64" t="s">
        <v>225</v>
      </c>
      <c r="C740" s="40">
        <v>1</v>
      </c>
      <c r="D740" s="40"/>
      <c r="E740" s="40"/>
      <c r="F740" s="40"/>
      <c r="G740" s="40"/>
      <c r="H740" s="157">
        <v>2.1</v>
      </c>
      <c r="I740" s="40"/>
      <c r="J740" s="106">
        <f t="shared" si="232"/>
        <v>2.1</v>
      </c>
      <c r="K740" s="106">
        <f t="shared" si="233"/>
        <v>2.1</v>
      </c>
      <c r="L740" s="106"/>
      <c r="M740" s="131"/>
      <c r="N740" s="98"/>
      <c r="O740" s="65"/>
      <c r="P740" s="87"/>
      <c r="Q740" s="128"/>
      <c r="R740" s="128"/>
      <c r="S740" s="128"/>
      <c r="T740" s="87"/>
      <c r="U740" s="87"/>
      <c r="V740" s="87"/>
      <c r="W740" s="87"/>
    </row>
    <row r="741" spans="1:23" s="66" customFormat="1" ht="13.8" x14ac:dyDescent="0.25">
      <c r="A741" s="34"/>
      <c r="B741" s="64" t="s">
        <v>585</v>
      </c>
      <c r="C741" s="40">
        <v>1</v>
      </c>
      <c r="D741" s="40"/>
      <c r="E741" s="40"/>
      <c r="F741" s="40"/>
      <c r="G741" s="40"/>
      <c r="H741" s="157">
        <v>3.5</v>
      </c>
      <c r="I741" s="40"/>
      <c r="J741" s="106">
        <f t="shared" si="232"/>
        <v>3.5</v>
      </c>
      <c r="K741" s="106">
        <f t="shared" si="233"/>
        <v>3.5</v>
      </c>
      <c r="L741" s="106"/>
      <c r="M741" s="131"/>
      <c r="N741" s="98"/>
      <c r="O741" s="65"/>
      <c r="P741" s="87"/>
      <c r="Q741" s="128"/>
      <c r="R741" s="128"/>
      <c r="S741" s="128"/>
      <c r="T741" s="87"/>
      <c r="U741" s="87"/>
      <c r="V741" s="87"/>
      <c r="W741" s="87"/>
    </row>
    <row r="742" spans="1:23" s="66" customFormat="1" ht="13.8" x14ac:dyDescent="0.25">
      <c r="A742" s="34"/>
      <c r="B742" s="64" t="s">
        <v>586</v>
      </c>
      <c r="C742" s="40">
        <v>1</v>
      </c>
      <c r="D742" s="40"/>
      <c r="E742" s="40"/>
      <c r="F742" s="40"/>
      <c r="G742" s="40"/>
      <c r="H742" s="157">
        <v>4.9000000000000004</v>
      </c>
      <c r="I742" s="40"/>
      <c r="J742" s="106">
        <f t="shared" si="232"/>
        <v>4.9000000000000004</v>
      </c>
      <c r="K742" s="106">
        <f t="shared" si="233"/>
        <v>4.9000000000000004</v>
      </c>
      <c r="L742" s="106"/>
      <c r="M742" s="131"/>
      <c r="N742" s="98"/>
      <c r="O742" s="65"/>
      <c r="P742" s="87"/>
      <c r="Q742" s="128"/>
      <c r="R742" s="128"/>
      <c r="S742" s="128"/>
      <c r="T742" s="87"/>
      <c r="U742" s="87"/>
      <c r="V742" s="87"/>
      <c r="W742" s="87"/>
    </row>
    <row r="743" spans="1:23" s="66" customFormat="1" ht="13.8" x14ac:dyDescent="0.25">
      <c r="A743" s="34"/>
      <c r="B743" s="64" t="s">
        <v>134</v>
      </c>
      <c r="C743" s="40">
        <v>1</v>
      </c>
      <c r="D743" s="40"/>
      <c r="E743" s="40"/>
      <c r="F743" s="40"/>
      <c r="G743" s="40"/>
      <c r="H743" s="157">
        <v>3.3</v>
      </c>
      <c r="I743" s="40"/>
      <c r="J743" s="106">
        <f t="shared" si="232"/>
        <v>3.3</v>
      </c>
      <c r="K743" s="106">
        <f t="shared" si="233"/>
        <v>3.3</v>
      </c>
      <c r="L743" s="106"/>
      <c r="M743" s="131"/>
      <c r="N743" s="98"/>
      <c r="O743" s="65"/>
      <c r="P743" s="87"/>
      <c r="Q743" s="128"/>
      <c r="R743" s="128"/>
      <c r="S743" s="128"/>
      <c r="T743" s="87"/>
      <c r="U743" s="87"/>
      <c r="V743" s="87"/>
      <c r="W743" s="87"/>
    </row>
    <row r="744" spans="1:23" s="66" customFormat="1" ht="13.8" x14ac:dyDescent="0.25">
      <c r="A744" s="34"/>
      <c r="B744" s="64" t="s">
        <v>199</v>
      </c>
      <c r="C744" s="40">
        <v>1</v>
      </c>
      <c r="D744" s="40"/>
      <c r="E744" s="40"/>
      <c r="F744" s="40"/>
      <c r="G744" s="40"/>
      <c r="H744" s="157">
        <v>28.1</v>
      </c>
      <c r="I744" s="40"/>
      <c r="J744" s="106">
        <f t="shared" si="232"/>
        <v>28.1</v>
      </c>
      <c r="K744" s="106">
        <f t="shared" si="233"/>
        <v>28.1</v>
      </c>
      <c r="L744" s="106"/>
      <c r="M744" s="131"/>
      <c r="N744" s="98"/>
      <c r="O744" s="65"/>
      <c r="P744" s="87"/>
      <c r="Q744" s="128"/>
      <c r="R744" s="128"/>
      <c r="S744" s="128"/>
      <c r="T744" s="87"/>
      <c r="U744" s="87"/>
      <c r="V744" s="87"/>
      <c r="W744" s="87"/>
    </row>
    <row r="745" spans="1:23" s="66" customFormat="1" ht="13.8" x14ac:dyDescent="0.25">
      <c r="A745" s="34"/>
      <c r="B745" s="64" t="s">
        <v>589</v>
      </c>
      <c r="C745" s="40">
        <v>1</v>
      </c>
      <c r="D745" s="40"/>
      <c r="E745" s="40"/>
      <c r="F745" s="40"/>
      <c r="G745" s="40"/>
      <c r="H745" s="157">
        <v>14.6</v>
      </c>
      <c r="I745" s="40"/>
      <c r="J745" s="106">
        <f t="shared" si="232"/>
        <v>14.6</v>
      </c>
      <c r="K745" s="106">
        <f t="shared" si="233"/>
        <v>14.6</v>
      </c>
      <c r="L745" s="106"/>
      <c r="M745" s="131"/>
      <c r="N745" s="98"/>
      <c r="O745" s="65"/>
      <c r="P745" s="87"/>
      <c r="Q745" s="128"/>
      <c r="R745" s="128"/>
      <c r="S745" s="128"/>
      <c r="T745" s="87"/>
      <c r="U745" s="87"/>
      <c r="V745" s="87"/>
      <c r="W745" s="87"/>
    </row>
    <row r="746" spans="1:23" s="66" customFormat="1" ht="13.8" x14ac:dyDescent="0.25">
      <c r="A746" s="34"/>
      <c r="B746" s="64" t="s">
        <v>587</v>
      </c>
      <c r="C746" s="40">
        <v>1</v>
      </c>
      <c r="D746" s="40"/>
      <c r="E746" s="40"/>
      <c r="F746" s="40"/>
      <c r="G746" s="40"/>
      <c r="H746" s="157">
        <v>19.100000000000001</v>
      </c>
      <c r="I746" s="40"/>
      <c r="J746" s="106">
        <f t="shared" si="232"/>
        <v>19.100000000000001</v>
      </c>
      <c r="K746" s="106">
        <f t="shared" si="233"/>
        <v>19.100000000000001</v>
      </c>
      <c r="L746" s="106"/>
      <c r="M746" s="131"/>
      <c r="N746" s="98"/>
      <c r="O746" s="65"/>
      <c r="P746" s="87"/>
      <c r="Q746" s="128"/>
      <c r="R746" s="128"/>
      <c r="S746" s="128"/>
      <c r="T746" s="87"/>
      <c r="U746" s="87"/>
      <c r="V746" s="87"/>
      <c r="W746" s="87"/>
    </row>
    <row r="747" spans="1:23" s="66" customFormat="1" ht="13.8" x14ac:dyDescent="0.25">
      <c r="A747" s="34"/>
      <c r="B747" s="64" t="s">
        <v>588</v>
      </c>
      <c r="C747" s="40">
        <v>1</v>
      </c>
      <c r="D747" s="40"/>
      <c r="E747" s="40"/>
      <c r="F747" s="40"/>
      <c r="G747" s="40"/>
      <c r="H747" s="157">
        <v>17.5</v>
      </c>
      <c r="I747" s="40"/>
      <c r="J747" s="106">
        <f t="shared" si="232"/>
        <v>17.5</v>
      </c>
      <c r="K747" s="106">
        <f t="shared" si="233"/>
        <v>17.5</v>
      </c>
      <c r="L747" s="106"/>
      <c r="M747" s="131"/>
      <c r="N747" s="98"/>
      <c r="O747" s="65"/>
      <c r="P747" s="87"/>
      <c r="Q747" s="128"/>
      <c r="R747" s="128"/>
      <c r="S747" s="128"/>
      <c r="T747" s="87"/>
      <c r="U747" s="87"/>
      <c r="V747" s="87"/>
      <c r="W747" s="87"/>
    </row>
    <row r="748" spans="1:23" s="66" customFormat="1" ht="13.8" x14ac:dyDescent="0.25">
      <c r="A748" s="34"/>
      <c r="B748" s="64" t="s">
        <v>590</v>
      </c>
      <c r="C748" s="40">
        <v>1</v>
      </c>
      <c r="D748" s="40"/>
      <c r="E748" s="40"/>
      <c r="F748" s="40"/>
      <c r="G748" s="40"/>
      <c r="H748" s="157">
        <v>11.84</v>
      </c>
      <c r="I748" s="40"/>
      <c r="J748" s="106">
        <f t="shared" si="232"/>
        <v>11.84</v>
      </c>
      <c r="K748" s="106">
        <f t="shared" si="233"/>
        <v>11.84</v>
      </c>
      <c r="L748" s="106"/>
      <c r="M748" s="131"/>
      <c r="N748" s="98"/>
      <c r="O748" s="65"/>
      <c r="P748" s="87"/>
      <c r="Q748" s="128"/>
      <c r="R748" s="128"/>
      <c r="S748" s="128"/>
      <c r="T748" s="87"/>
      <c r="U748" s="87"/>
      <c r="V748" s="87"/>
      <c r="W748" s="87"/>
    </row>
    <row r="749" spans="1:23" s="66" customFormat="1" ht="13.8" x14ac:dyDescent="0.25">
      <c r="A749" s="34"/>
      <c r="B749" s="64" t="s">
        <v>266</v>
      </c>
      <c r="C749" s="40">
        <v>1</v>
      </c>
      <c r="D749" s="40"/>
      <c r="E749" s="40"/>
      <c r="F749" s="40"/>
      <c r="G749" s="40"/>
      <c r="H749" s="157">
        <v>23.5</v>
      </c>
      <c r="I749" s="40"/>
      <c r="J749" s="106">
        <f t="shared" ref="J749" si="234">+H749</f>
        <v>23.5</v>
      </c>
      <c r="K749" s="106">
        <f t="shared" ref="K749" si="235">+J749*C749</f>
        <v>23.5</v>
      </c>
      <c r="L749" s="106"/>
      <c r="M749" s="131"/>
      <c r="N749" s="98"/>
      <c r="O749" s="65"/>
      <c r="P749" s="87"/>
      <c r="Q749" s="128"/>
      <c r="R749" s="128"/>
      <c r="S749" s="128"/>
      <c r="T749" s="87"/>
      <c r="U749" s="87"/>
      <c r="V749" s="87"/>
      <c r="W749" s="87"/>
    </row>
    <row r="750" spans="1:23" s="66" customFormat="1" ht="13.8" x14ac:dyDescent="0.25">
      <c r="A750" s="34"/>
      <c r="B750" s="68" t="s">
        <v>204</v>
      </c>
      <c r="C750" s="40"/>
      <c r="D750" s="40"/>
      <c r="E750" s="40"/>
      <c r="F750" s="40"/>
      <c r="G750" s="40"/>
      <c r="H750" s="157"/>
      <c r="I750" s="40"/>
      <c r="J750" s="106"/>
      <c r="K750" s="106"/>
      <c r="L750" s="106"/>
      <c r="M750" s="131"/>
      <c r="N750" s="98"/>
      <c r="O750" s="65"/>
      <c r="P750" s="87"/>
      <c r="Q750" s="128"/>
      <c r="R750" s="128"/>
      <c r="S750" s="128"/>
      <c r="T750" s="87"/>
      <c r="U750" s="87"/>
      <c r="V750" s="87"/>
      <c r="W750" s="87"/>
    </row>
    <row r="751" spans="1:23" s="66" customFormat="1" ht="13.8" x14ac:dyDescent="0.25">
      <c r="A751" s="34"/>
      <c r="B751" s="64" t="s">
        <v>594</v>
      </c>
      <c r="C751" s="40">
        <v>1</v>
      </c>
      <c r="D751" s="40"/>
      <c r="E751" s="40"/>
      <c r="F751" s="40"/>
      <c r="G751" s="40"/>
      <c r="H751" s="157">
        <v>39.9</v>
      </c>
      <c r="I751" s="40"/>
      <c r="J751" s="106">
        <f t="shared" si="232"/>
        <v>39.9</v>
      </c>
      <c r="K751" s="106">
        <f t="shared" si="233"/>
        <v>39.9</v>
      </c>
      <c r="L751" s="106"/>
      <c r="M751" s="131"/>
      <c r="N751" s="98"/>
      <c r="O751" s="65"/>
      <c r="P751" s="87"/>
      <c r="Q751" s="128"/>
      <c r="R751" s="128"/>
      <c r="S751" s="128"/>
      <c r="T751" s="87"/>
      <c r="U751" s="87"/>
      <c r="V751" s="87"/>
      <c r="W751" s="87"/>
    </row>
    <row r="752" spans="1:23" s="66" customFormat="1" ht="13.8" x14ac:dyDescent="0.25">
      <c r="A752" s="34"/>
      <c r="B752" s="64" t="s">
        <v>584</v>
      </c>
      <c r="C752" s="40">
        <v>1</v>
      </c>
      <c r="D752" s="40"/>
      <c r="E752" s="40"/>
      <c r="F752" s="40"/>
      <c r="G752" s="40"/>
      <c r="H752" s="157">
        <v>12.1</v>
      </c>
      <c r="I752" s="40"/>
      <c r="J752" s="106">
        <f t="shared" si="232"/>
        <v>12.1</v>
      </c>
      <c r="K752" s="106">
        <f t="shared" si="233"/>
        <v>12.1</v>
      </c>
      <c r="L752" s="106"/>
      <c r="M752" s="131"/>
      <c r="N752" s="98"/>
      <c r="O752" s="65"/>
      <c r="P752" s="87"/>
      <c r="Q752" s="128"/>
      <c r="R752" s="128"/>
      <c r="S752" s="128"/>
      <c r="T752" s="87"/>
      <c r="U752" s="87"/>
      <c r="V752" s="87"/>
      <c r="W752" s="87"/>
    </row>
    <row r="753" spans="1:23" s="66" customFormat="1" ht="13.8" x14ac:dyDescent="0.25">
      <c r="A753" s="34"/>
      <c r="B753" s="64" t="s">
        <v>266</v>
      </c>
      <c r="C753" s="40">
        <v>1</v>
      </c>
      <c r="D753" s="40"/>
      <c r="E753" s="40"/>
      <c r="F753" s="40"/>
      <c r="G753" s="40"/>
      <c r="H753" s="157">
        <v>23.8</v>
      </c>
      <c r="I753" s="40"/>
      <c r="J753" s="106">
        <f t="shared" si="232"/>
        <v>23.8</v>
      </c>
      <c r="K753" s="106">
        <f t="shared" si="233"/>
        <v>23.8</v>
      </c>
      <c r="L753" s="106"/>
      <c r="M753" s="131"/>
      <c r="N753" s="98"/>
      <c r="O753" s="65"/>
      <c r="P753" s="87"/>
      <c r="Q753" s="128"/>
      <c r="R753" s="128"/>
      <c r="S753" s="128"/>
      <c r="T753" s="87"/>
      <c r="U753" s="87"/>
      <c r="V753" s="87"/>
      <c r="W753" s="87"/>
    </row>
    <row r="754" spans="1:23" s="66" customFormat="1" ht="13.8" x14ac:dyDescent="0.25">
      <c r="A754" s="34"/>
      <c r="B754" s="64" t="s">
        <v>134</v>
      </c>
      <c r="C754" s="40">
        <v>1</v>
      </c>
      <c r="D754" s="40"/>
      <c r="E754" s="40"/>
      <c r="F754" s="40"/>
      <c r="G754" s="40"/>
      <c r="H754" s="157">
        <v>4.0999999999999996</v>
      </c>
      <c r="I754" s="40"/>
      <c r="J754" s="106">
        <f t="shared" si="232"/>
        <v>4.0999999999999996</v>
      </c>
      <c r="K754" s="106">
        <f t="shared" si="233"/>
        <v>4.0999999999999996</v>
      </c>
      <c r="L754" s="106"/>
      <c r="M754" s="131"/>
      <c r="N754" s="98"/>
      <c r="O754" s="65"/>
      <c r="P754" s="87"/>
      <c r="Q754" s="128"/>
      <c r="R754" s="128"/>
      <c r="S754" s="128"/>
      <c r="T754" s="87"/>
      <c r="U754" s="87"/>
      <c r="V754" s="87"/>
      <c r="W754" s="87"/>
    </row>
    <row r="755" spans="1:23" s="66" customFormat="1" ht="13.8" x14ac:dyDescent="0.25">
      <c r="A755" s="34"/>
      <c r="B755" s="64" t="s">
        <v>199</v>
      </c>
      <c r="C755" s="40">
        <v>1</v>
      </c>
      <c r="D755" s="40"/>
      <c r="E755" s="40"/>
      <c r="F755" s="40"/>
      <c r="G755" s="40"/>
      <c r="H755" s="157">
        <v>18.100000000000001</v>
      </c>
      <c r="I755" s="40"/>
      <c r="J755" s="106">
        <f t="shared" si="232"/>
        <v>18.100000000000001</v>
      </c>
      <c r="K755" s="106">
        <f t="shared" si="233"/>
        <v>18.100000000000001</v>
      </c>
      <c r="L755" s="106"/>
      <c r="M755" s="131"/>
      <c r="N755" s="98"/>
      <c r="O755" s="65"/>
      <c r="P755" s="87"/>
      <c r="Q755" s="128"/>
      <c r="R755" s="128"/>
      <c r="S755" s="128"/>
      <c r="T755" s="87"/>
      <c r="U755" s="87"/>
      <c r="V755" s="87"/>
      <c r="W755" s="87"/>
    </row>
    <row r="756" spans="1:23" s="66" customFormat="1" ht="13.8" x14ac:dyDescent="0.25">
      <c r="A756" s="34"/>
      <c r="B756" s="64" t="s">
        <v>586</v>
      </c>
      <c r="C756" s="40">
        <v>1</v>
      </c>
      <c r="D756" s="40"/>
      <c r="E756" s="40"/>
      <c r="F756" s="40"/>
      <c r="G756" s="40"/>
      <c r="H756" s="157">
        <v>3.5</v>
      </c>
      <c r="I756" s="40"/>
      <c r="J756" s="106">
        <f t="shared" si="232"/>
        <v>3.5</v>
      </c>
      <c r="K756" s="106">
        <f t="shared" si="233"/>
        <v>3.5</v>
      </c>
      <c r="L756" s="106"/>
      <c r="M756" s="131"/>
      <c r="N756" s="98"/>
      <c r="O756" s="65"/>
      <c r="P756" s="87"/>
      <c r="Q756" s="128"/>
      <c r="R756" s="128"/>
      <c r="S756" s="128"/>
      <c r="T756" s="87"/>
      <c r="U756" s="87"/>
      <c r="V756" s="87"/>
      <c r="W756" s="87"/>
    </row>
    <row r="757" spans="1:23" s="66" customFormat="1" ht="13.8" x14ac:dyDescent="0.25">
      <c r="A757" s="34"/>
      <c r="B757" s="64" t="s">
        <v>591</v>
      </c>
      <c r="C757" s="40">
        <v>1</v>
      </c>
      <c r="D757" s="40"/>
      <c r="E757" s="40"/>
      <c r="F757" s="40"/>
      <c r="G757" s="40"/>
      <c r="H757" s="157">
        <v>4.9000000000000004</v>
      </c>
      <c r="I757" s="40"/>
      <c r="J757" s="106">
        <f t="shared" si="232"/>
        <v>4.9000000000000004</v>
      </c>
      <c r="K757" s="106">
        <f t="shared" si="233"/>
        <v>4.9000000000000004</v>
      </c>
      <c r="L757" s="106"/>
      <c r="M757" s="131"/>
      <c r="N757" s="98"/>
      <c r="O757" s="65"/>
      <c r="P757" s="87"/>
      <c r="Q757" s="128"/>
      <c r="R757" s="128"/>
      <c r="S757" s="128"/>
      <c r="T757" s="87"/>
      <c r="U757" s="87"/>
      <c r="V757" s="87"/>
      <c r="W757" s="87"/>
    </row>
    <row r="758" spans="1:23" s="66" customFormat="1" ht="13.8" x14ac:dyDescent="0.25">
      <c r="A758" s="34"/>
      <c r="B758" s="64" t="s">
        <v>592</v>
      </c>
      <c r="C758" s="40">
        <v>1</v>
      </c>
      <c r="D758" s="40"/>
      <c r="E758" s="40"/>
      <c r="F758" s="40"/>
      <c r="G758" s="40"/>
      <c r="H758" s="157">
        <v>31.1</v>
      </c>
      <c r="I758" s="40"/>
      <c r="J758" s="106">
        <f t="shared" si="232"/>
        <v>31.1</v>
      </c>
      <c r="K758" s="106">
        <f t="shared" si="233"/>
        <v>31.1</v>
      </c>
      <c r="L758" s="106"/>
      <c r="M758" s="131"/>
      <c r="N758" s="98"/>
      <c r="O758" s="65"/>
      <c r="P758" s="87"/>
      <c r="Q758" s="128"/>
      <c r="R758" s="128"/>
      <c r="S758" s="128"/>
      <c r="T758" s="87"/>
      <c r="U758" s="87"/>
      <c r="V758" s="87"/>
      <c r="W758" s="87"/>
    </row>
    <row r="759" spans="1:23" s="66" customFormat="1" ht="13.8" x14ac:dyDescent="0.25">
      <c r="A759" s="34"/>
      <c r="B759" s="64" t="s">
        <v>554</v>
      </c>
      <c r="C759" s="40">
        <v>1</v>
      </c>
      <c r="D759" s="40"/>
      <c r="E759" s="40"/>
      <c r="F759" s="40"/>
      <c r="G759" s="40"/>
      <c r="H759" s="157">
        <v>12.7</v>
      </c>
      <c r="I759" s="40"/>
      <c r="J759" s="106">
        <f t="shared" si="232"/>
        <v>12.7</v>
      </c>
      <c r="K759" s="106">
        <f t="shared" si="233"/>
        <v>12.7</v>
      </c>
      <c r="L759" s="106"/>
      <c r="M759" s="131"/>
      <c r="N759" s="98"/>
      <c r="O759" s="65"/>
      <c r="P759" s="87"/>
      <c r="Q759" s="128"/>
      <c r="R759" s="128"/>
      <c r="S759" s="128"/>
      <c r="T759" s="87"/>
      <c r="U759" s="87"/>
      <c r="V759" s="87"/>
      <c r="W759" s="87"/>
    </row>
    <row r="760" spans="1:23" s="66" customFormat="1" ht="13.8" x14ac:dyDescent="0.25">
      <c r="A760" s="34"/>
      <c r="B760" s="64" t="s">
        <v>593</v>
      </c>
      <c r="C760" s="40">
        <v>1</v>
      </c>
      <c r="D760" s="40"/>
      <c r="E760" s="40"/>
      <c r="F760" s="40"/>
      <c r="G760" s="40"/>
      <c r="H760" s="157">
        <v>33.700000000000003</v>
      </c>
      <c r="I760" s="40"/>
      <c r="J760" s="106">
        <f t="shared" si="232"/>
        <v>33.700000000000003</v>
      </c>
      <c r="K760" s="106">
        <f t="shared" si="233"/>
        <v>33.700000000000003</v>
      </c>
      <c r="L760" s="106"/>
      <c r="M760" s="131"/>
      <c r="N760" s="98"/>
      <c r="O760" s="65"/>
      <c r="P760" s="87"/>
      <c r="Q760" s="128"/>
      <c r="R760" s="128"/>
      <c r="S760" s="128"/>
      <c r="T760" s="87"/>
      <c r="U760" s="87"/>
      <c r="V760" s="87"/>
      <c r="W760" s="87"/>
    </row>
    <row r="761" spans="1:23" s="66" customFormat="1" ht="13.8" x14ac:dyDescent="0.25">
      <c r="A761" s="34"/>
      <c r="B761" s="64"/>
      <c r="C761" s="40"/>
      <c r="D761" s="40"/>
      <c r="E761" s="40"/>
      <c r="F761" s="40"/>
      <c r="G761" s="40"/>
      <c r="H761" s="157"/>
      <c r="I761" s="40"/>
      <c r="J761" s="106"/>
      <c r="K761" s="106"/>
      <c r="L761" s="106"/>
      <c r="M761" s="131"/>
      <c r="N761" s="98"/>
      <c r="O761" s="65"/>
      <c r="P761" s="87"/>
      <c r="Q761" s="128"/>
      <c r="R761" s="128"/>
      <c r="S761" s="128"/>
      <c r="T761" s="87"/>
      <c r="U761" s="87"/>
      <c r="V761" s="87"/>
      <c r="W761" s="87"/>
    </row>
    <row r="762" spans="1:23" s="66" customFormat="1" ht="13.8" x14ac:dyDescent="0.25">
      <c r="A762" s="34"/>
      <c r="B762" s="68" t="s">
        <v>205</v>
      </c>
      <c r="C762" s="40"/>
      <c r="D762" s="40"/>
      <c r="E762" s="40"/>
      <c r="F762" s="40"/>
      <c r="G762" s="40"/>
      <c r="H762" s="157"/>
      <c r="I762" s="40"/>
      <c r="J762" s="106"/>
      <c r="K762" s="106"/>
      <c r="L762" s="106"/>
      <c r="M762" s="131"/>
      <c r="N762" s="98"/>
      <c r="O762" s="65"/>
      <c r="P762" s="87"/>
      <c r="Q762" s="128"/>
      <c r="R762" s="128"/>
      <c r="S762" s="128"/>
      <c r="T762" s="87"/>
      <c r="U762" s="87"/>
      <c r="V762" s="87"/>
      <c r="W762" s="87"/>
    </row>
    <row r="763" spans="1:23" s="66" customFormat="1" ht="13.8" x14ac:dyDescent="0.25">
      <c r="A763" s="34"/>
      <c r="B763" s="64" t="s">
        <v>580</v>
      </c>
      <c r="C763" s="40">
        <v>1</v>
      </c>
      <c r="D763" s="40"/>
      <c r="E763" s="40"/>
      <c r="F763" s="40"/>
      <c r="G763" s="40"/>
      <c r="H763" s="157">
        <v>49</v>
      </c>
      <c r="I763" s="40"/>
      <c r="J763" s="106">
        <f t="shared" ref="J763:J766" si="236">+H763</f>
        <v>49</v>
      </c>
      <c r="K763" s="106">
        <f t="shared" ref="K763:K766" si="237">+J763*C763</f>
        <v>49</v>
      </c>
      <c r="L763" s="106"/>
      <c r="M763" s="131"/>
      <c r="N763" s="98"/>
      <c r="O763" s="65"/>
      <c r="P763" s="87"/>
      <c r="Q763" s="128"/>
      <c r="R763" s="128"/>
      <c r="S763" s="128"/>
      <c r="T763" s="87"/>
      <c r="U763" s="87"/>
      <c r="V763" s="87"/>
      <c r="W763" s="87"/>
    </row>
    <row r="764" spans="1:23" s="66" customFormat="1" ht="13.8" x14ac:dyDescent="0.25">
      <c r="A764" s="34"/>
      <c r="B764" s="64" t="s">
        <v>595</v>
      </c>
      <c r="C764" s="40">
        <v>1</v>
      </c>
      <c r="D764" s="40"/>
      <c r="E764" s="40"/>
      <c r="F764" s="40"/>
      <c r="G764" s="40"/>
      <c r="H764" s="157">
        <v>10.6</v>
      </c>
      <c r="I764" s="40"/>
      <c r="J764" s="106">
        <f t="shared" si="236"/>
        <v>10.6</v>
      </c>
      <c r="K764" s="106">
        <f t="shared" si="237"/>
        <v>10.6</v>
      </c>
      <c r="L764" s="106"/>
      <c r="M764" s="131"/>
      <c r="N764" s="98"/>
      <c r="O764" s="65"/>
      <c r="P764" s="87"/>
      <c r="Q764" s="128"/>
      <c r="R764" s="128"/>
      <c r="S764" s="128"/>
      <c r="T764" s="87"/>
      <c r="U764" s="87"/>
      <c r="V764" s="87"/>
      <c r="W764" s="87"/>
    </row>
    <row r="765" spans="1:23" s="66" customFormat="1" ht="13.8" x14ac:dyDescent="0.25">
      <c r="A765" s="34"/>
      <c r="B765" s="64" t="s">
        <v>581</v>
      </c>
      <c r="C765" s="40">
        <v>1</v>
      </c>
      <c r="D765" s="40"/>
      <c r="E765" s="40"/>
      <c r="F765" s="40"/>
      <c r="G765" s="40"/>
      <c r="H765" s="157">
        <v>93.9</v>
      </c>
      <c r="I765" s="40"/>
      <c r="J765" s="106">
        <f t="shared" si="236"/>
        <v>93.9</v>
      </c>
      <c r="K765" s="106">
        <f t="shared" si="237"/>
        <v>93.9</v>
      </c>
      <c r="L765" s="106"/>
      <c r="M765" s="131"/>
      <c r="N765" s="98"/>
      <c r="O765" s="65"/>
      <c r="P765" s="87"/>
      <c r="Q765" s="128"/>
      <c r="R765" s="128"/>
      <c r="S765" s="128"/>
      <c r="T765" s="87"/>
      <c r="U765" s="87"/>
      <c r="V765" s="87"/>
      <c r="W765" s="87"/>
    </row>
    <row r="766" spans="1:23" s="66" customFormat="1" ht="13.8" x14ac:dyDescent="0.25">
      <c r="A766" s="34"/>
      <c r="B766" s="64" t="s">
        <v>292</v>
      </c>
      <c r="C766" s="40">
        <v>1</v>
      </c>
      <c r="D766" s="40"/>
      <c r="E766" s="40"/>
      <c r="F766" s="40"/>
      <c r="G766" s="40"/>
      <c r="H766" s="157">
        <v>4.0999999999999996</v>
      </c>
      <c r="I766" s="40"/>
      <c r="J766" s="106">
        <f t="shared" si="236"/>
        <v>4.0999999999999996</v>
      </c>
      <c r="K766" s="106">
        <f t="shared" si="237"/>
        <v>4.0999999999999996</v>
      </c>
      <c r="L766" s="106"/>
      <c r="M766" s="131"/>
      <c r="N766" s="98"/>
      <c r="O766" s="65"/>
      <c r="P766" s="87"/>
      <c r="Q766" s="128"/>
      <c r="R766" s="128"/>
      <c r="S766" s="128"/>
      <c r="T766" s="87"/>
      <c r="U766" s="87"/>
      <c r="V766" s="87"/>
      <c r="W766" s="87"/>
    </row>
    <row r="767" spans="1:23" s="66" customFormat="1" ht="13.8" x14ac:dyDescent="0.25">
      <c r="A767" s="34"/>
      <c r="B767" s="64"/>
      <c r="C767" s="40"/>
      <c r="D767" s="40"/>
      <c r="E767" s="40"/>
      <c r="F767" s="40"/>
      <c r="G767" s="40"/>
      <c r="H767" s="157"/>
      <c r="I767" s="40"/>
      <c r="J767" s="106"/>
      <c r="K767" s="106"/>
      <c r="L767" s="106"/>
      <c r="M767" s="131"/>
      <c r="N767" s="98"/>
      <c r="O767" s="65"/>
      <c r="P767" s="87"/>
      <c r="Q767" s="128"/>
      <c r="R767" s="128"/>
      <c r="S767" s="128"/>
      <c r="T767" s="87"/>
      <c r="U767" s="87"/>
      <c r="V767" s="87"/>
      <c r="W767" s="87"/>
    </row>
    <row r="768" spans="1:23" s="66" customFormat="1" ht="13.8" x14ac:dyDescent="0.25">
      <c r="A768" s="34"/>
      <c r="B768" s="68" t="s">
        <v>596</v>
      </c>
      <c r="C768" s="40"/>
      <c r="D768" s="40"/>
      <c r="E768" s="40"/>
      <c r="F768" s="40"/>
      <c r="G768" s="40"/>
      <c r="H768" s="157"/>
      <c r="I768" s="40"/>
      <c r="J768" s="106"/>
      <c r="K768" s="106"/>
      <c r="L768" s="106"/>
      <c r="M768" s="131"/>
      <c r="N768" s="98"/>
      <c r="O768" s="65"/>
      <c r="P768" s="87"/>
      <c r="Q768" s="128"/>
      <c r="R768" s="128"/>
      <c r="S768" s="128"/>
      <c r="T768" s="87"/>
      <c r="U768" s="87"/>
      <c r="V768" s="87"/>
      <c r="W768" s="87"/>
    </row>
    <row r="769" spans="1:23" s="66" customFormat="1" ht="13.8" x14ac:dyDescent="0.25">
      <c r="A769" s="34"/>
      <c r="B769" s="64" t="s">
        <v>597</v>
      </c>
      <c r="C769" s="40">
        <v>1</v>
      </c>
      <c r="D769" s="40"/>
      <c r="E769" s="40"/>
      <c r="F769" s="40"/>
      <c r="G769" s="40"/>
      <c r="H769" s="157">
        <v>8.9</v>
      </c>
      <c r="I769" s="40"/>
      <c r="J769" s="106">
        <f t="shared" ref="J769" si="238">+H769</f>
        <v>8.9</v>
      </c>
      <c r="K769" s="106">
        <f t="shared" ref="K769" si="239">+J769*C769</f>
        <v>8.9</v>
      </c>
      <c r="L769" s="106"/>
      <c r="M769" s="131"/>
      <c r="N769" s="98"/>
      <c r="O769" s="65"/>
      <c r="P769" s="87"/>
      <c r="Q769" s="128"/>
      <c r="R769" s="128"/>
      <c r="S769" s="128"/>
      <c r="T769" s="87"/>
      <c r="U769" s="87"/>
      <c r="V769" s="87"/>
      <c r="W769" s="87"/>
    </row>
    <row r="770" spans="1:23" s="33" customFormat="1" ht="30.75" customHeight="1" x14ac:dyDescent="0.25">
      <c r="A770" s="28" t="s">
        <v>35</v>
      </c>
      <c r="B770" s="29" t="s">
        <v>32</v>
      </c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59"/>
      <c r="N770" s="97"/>
      <c r="O770" s="32"/>
      <c r="P770" s="85"/>
      <c r="Q770" s="126"/>
      <c r="R770" s="126"/>
      <c r="S770" s="126"/>
      <c r="T770" s="85"/>
      <c r="U770" s="85"/>
      <c r="V770" s="85"/>
      <c r="W770" s="85"/>
    </row>
    <row r="771" spans="1:23" s="66" customFormat="1" ht="13.8" x14ac:dyDescent="0.25">
      <c r="A771" s="69"/>
      <c r="B771" s="60" t="s">
        <v>212</v>
      </c>
      <c r="C771" s="40"/>
      <c r="D771" s="40"/>
      <c r="E771" s="40"/>
      <c r="F771" s="40"/>
      <c r="G771" s="40"/>
      <c r="H771" s="40"/>
      <c r="I771" s="40"/>
      <c r="J771" s="40"/>
      <c r="K771" s="40"/>
      <c r="L771" s="40">
        <v>1.05</v>
      </c>
      <c r="M771" s="215">
        <f>+SUM(K772:K774)*L771</f>
        <v>158.96999999999997</v>
      </c>
      <c r="N771" s="97" t="s">
        <v>6</v>
      </c>
      <c r="O771" s="65"/>
      <c r="P771" s="87"/>
      <c r="Q771" s="128"/>
      <c r="R771" s="128"/>
      <c r="S771" s="128"/>
      <c r="T771" s="87"/>
      <c r="U771" s="87"/>
      <c r="V771" s="87"/>
      <c r="W771" s="87"/>
    </row>
    <row r="772" spans="1:23" s="66" customFormat="1" ht="13.8" x14ac:dyDescent="0.25">
      <c r="A772" s="69"/>
      <c r="B772" s="60"/>
      <c r="C772" s="40">
        <v>10</v>
      </c>
      <c r="D772" s="40">
        <v>7.3</v>
      </c>
      <c r="E772" s="40"/>
      <c r="F772" s="40"/>
      <c r="G772" s="40"/>
      <c r="H772" s="40"/>
      <c r="I772" s="40"/>
      <c r="J772" s="40">
        <f>+D772</f>
        <v>7.3</v>
      </c>
      <c r="K772" s="40">
        <f>+J772*C772</f>
        <v>73</v>
      </c>
      <c r="L772" s="40"/>
      <c r="M772" s="59"/>
      <c r="N772" s="97"/>
      <c r="O772" s="65"/>
      <c r="P772" s="87"/>
      <c r="Q772" s="128"/>
      <c r="R772" s="128"/>
      <c r="S772" s="128"/>
      <c r="T772" s="87"/>
      <c r="U772" s="87"/>
      <c r="V772" s="87"/>
      <c r="W772" s="87"/>
    </row>
    <row r="773" spans="1:23" s="33" customFormat="1" ht="13.8" x14ac:dyDescent="0.25">
      <c r="A773" s="34"/>
      <c r="C773" s="40"/>
      <c r="D773" s="40"/>
      <c r="E773" s="40"/>
      <c r="F773" s="40"/>
      <c r="G773" s="40"/>
      <c r="H773" s="40"/>
      <c r="I773" s="40"/>
      <c r="J773" s="40"/>
      <c r="K773" s="40"/>
      <c r="L773" s="139"/>
      <c r="O773" s="32"/>
      <c r="P773" s="85"/>
      <c r="Q773" s="126"/>
      <c r="R773" s="126"/>
      <c r="S773" s="126"/>
      <c r="T773" s="85"/>
      <c r="U773" s="85"/>
      <c r="V773" s="85"/>
      <c r="W773" s="85"/>
    </row>
    <row r="774" spans="1:23" s="33" customFormat="1" ht="13.8" x14ac:dyDescent="0.25">
      <c r="A774" s="34"/>
      <c r="B774" s="62"/>
      <c r="C774" s="40">
        <v>7</v>
      </c>
      <c r="D774" s="40">
        <v>11.2</v>
      </c>
      <c r="E774" s="40"/>
      <c r="F774" s="40"/>
      <c r="G774" s="40"/>
      <c r="H774" s="40"/>
      <c r="I774" s="40"/>
      <c r="J774" s="40">
        <f t="shared" ref="J774" si="240">+D774</f>
        <v>11.2</v>
      </c>
      <c r="K774" s="40">
        <f t="shared" ref="K774" si="241">+J774*C774</f>
        <v>78.399999999999991</v>
      </c>
      <c r="L774" s="40"/>
      <c r="M774" s="62"/>
      <c r="N774" s="62"/>
      <c r="O774" s="32"/>
      <c r="P774" s="85"/>
      <c r="Q774" s="126"/>
      <c r="R774" s="126"/>
      <c r="S774" s="126"/>
      <c r="T774" s="85"/>
      <c r="U774" s="85"/>
      <c r="V774" s="85"/>
      <c r="W774" s="85"/>
    </row>
    <row r="775" spans="1:23" s="33" customFormat="1" ht="13.8" x14ac:dyDescent="0.25">
      <c r="A775" s="69"/>
      <c r="B775" s="60" t="s">
        <v>95</v>
      </c>
      <c r="C775" s="40"/>
      <c r="D775" s="40"/>
      <c r="E775" s="40"/>
      <c r="F775" s="40"/>
      <c r="G775" s="40"/>
      <c r="H775" s="40"/>
      <c r="I775" s="40"/>
      <c r="J775" s="40"/>
      <c r="K775" s="40"/>
      <c r="L775" s="40">
        <v>1.05</v>
      </c>
      <c r="M775" s="59">
        <f>+SUM(K776:K777)*L775</f>
        <v>176.61419999999998</v>
      </c>
      <c r="N775" s="97" t="s">
        <v>7</v>
      </c>
      <c r="O775" s="32"/>
      <c r="P775" s="85"/>
      <c r="Q775" s="126"/>
      <c r="R775" s="126"/>
      <c r="S775" s="126"/>
      <c r="T775" s="85"/>
      <c r="U775" s="85"/>
      <c r="V775" s="85"/>
      <c r="W775" s="85"/>
    </row>
    <row r="776" spans="1:23" s="33" customFormat="1" ht="13.8" x14ac:dyDescent="0.25">
      <c r="A776" s="34"/>
      <c r="B776" s="62"/>
      <c r="C776" s="40">
        <v>1</v>
      </c>
      <c r="D776" s="40">
        <v>7.3</v>
      </c>
      <c r="E776" s="40">
        <f>5.7*1.2</f>
        <v>6.84</v>
      </c>
      <c r="F776" s="40"/>
      <c r="G776" s="40"/>
      <c r="H776" s="40">
        <f>+E776*D776</f>
        <v>49.931999999999995</v>
      </c>
      <c r="I776" s="40"/>
      <c r="J776" s="40">
        <f>+H776</f>
        <v>49.931999999999995</v>
      </c>
      <c r="K776" s="40">
        <f t="shared" ref="K776:K777" si="242">+J776*C776</f>
        <v>49.931999999999995</v>
      </c>
      <c r="L776" s="40"/>
      <c r="M776" s="62"/>
      <c r="N776" s="62"/>
      <c r="O776" s="32"/>
      <c r="P776" s="85"/>
      <c r="Q776" s="126"/>
      <c r="R776" s="126"/>
      <c r="S776" s="126"/>
      <c r="T776" s="85"/>
      <c r="U776" s="85"/>
      <c r="V776" s="85"/>
      <c r="W776" s="85"/>
    </row>
    <row r="777" spans="1:23" s="33" customFormat="1" ht="13.8" x14ac:dyDescent="0.25">
      <c r="A777" s="34"/>
      <c r="B777" s="62"/>
      <c r="C777" s="40">
        <v>1</v>
      </c>
      <c r="D777" s="40">
        <v>11.2</v>
      </c>
      <c r="E777" s="40">
        <f>(4.3+4.5)*1.2</f>
        <v>10.56</v>
      </c>
      <c r="F777" s="40"/>
      <c r="G777" s="40"/>
      <c r="H777" s="40">
        <f>+E777*D777</f>
        <v>118.27199999999999</v>
      </c>
      <c r="I777" s="40"/>
      <c r="J777" s="40">
        <f>+H777</f>
        <v>118.27199999999999</v>
      </c>
      <c r="K777" s="40">
        <f t="shared" si="242"/>
        <v>118.27199999999999</v>
      </c>
      <c r="L777" s="40"/>
      <c r="M777" s="62"/>
      <c r="N777" s="62"/>
      <c r="O777" s="32"/>
      <c r="P777" s="85"/>
      <c r="Q777" s="126"/>
      <c r="R777" s="126"/>
      <c r="S777" s="126"/>
      <c r="T777" s="85"/>
      <c r="U777" s="85"/>
      <c r="V777" s="85"/>
      <c r="W777" s="85"/>
    </row>
    <row r="778" spans="1:23" s="33" customFormat="1" ht="13.8" x14ac:dyDescent="0.25">
      <c r="A778" s="34"/>
      <c r="B778" s="41"/>
      <c r="C778" s="40"/>
      <c r="E778" s="40"/>
      <c r="F778" s="40"/>
      <c r="G778" s="40"/>
      <c r="H778" s="40"/>
      <c r="I778" s="40"/>
      <c r="J778" s="40"/>
      <c r="K778" s="40"/>
      <c r="L778" s="40"/>
      <c r="M778" s="59"/>
      <c r="N778" s="97"/>
      <c r="O778" s="32"/>
      <c r="P778" s="85"/>
      <c r="Q778" s="126"/>
      <c r="R778" s="126"/>
      <c r="S778" s="126"/>
      <c r="T778" s="85"/>
      <c r="U778" s="85"/>
      <c r="V778" s="85"/>
      <c r="W778" s="85"/>
    </row>
    <row r="779" spans="1:23" s="33" customFormat="1" ht="13.8" x14ac:dyDescent="0.25">
      <c r="A779" s="69"/>
      <c r="B779" s="60" t="s">
        <v>603</v>
      </c>
      <c r="C779" s="40"/>
      <c r="D779" s="40"/>
      <c r="E779" s="40"/>
      <c r="F779" s="40"/>
      <c r="G779" s="40"/>
      <c r="H779" s="40"/>
      <c r="I779" s="40"/>
      <c r="J779" s="40"/>
      <c r="K779" s="40"/>
      <c r="L779" s="40">
        <v>1.05</v>
      </c>
      <c r="M779" s="59">
        <f>+SUM(K780:K781)*L779</f>
        <v>176.61419999999998</v>
      </c>
      <c r="N779" s="97" t="s">
        <v>7</v>
      </c>
      <c r="O779" s="32"/>
      <c r="P779" s="85"/>
      <c r="Q779" s="126"/>
      <c r="R779" s="126"/>
      <c r="S779" s="126"/>
      <c r="T779" s="85"/>
      <c r="U779" s="85"/>
      <c r="V779" s="85"/>
      <c r="W779" s="85"/>
    </row>
    <row r="780" spans="1:23" s="33" customFormat="1" ht="13.8" x14ac:dyDescent="0.25">
      <c r="A780" s="34"/>
      <c r="B780" s="62"/>
      <c r="C780" s="40">
        <v>1</v>
      </c>
      <c r="D780" s="40">
        <v>7.3</v>
      </c>
      <c r="E780" s="40">
        <f>5.7*1.2</f>
        <v>6.84</v>
      </c>
      <c r="F780" s="40"/>
      <c r="G780" s="40"/>
      <c r="H780" s="40">
        <f>+E780*D780</f>
        <v>49.931999999999995</v>
      </c>
      <c r="I780" s="40"/>
      <c r="J780" s="40">
        <f>+H780</f>
        <v>49.931999999999995</v>
      </c>
      <c r="K780" s="40">
        <f t="shared" ref="K780:K781" si="243">+J780*C780</f>
        <v>49.931999999999995</v>
      </c>
      <c r="L780" s="40"/>
      <c r="M780" s="62"/>
      <c r="N780" s="62"/>
      <c r="O780" s="32"/>
      <c r="P780" s="85"/>
      <c r="Q780" s="126"/>
      <c r="R780" s="126"/>
      <c r="S780" s="126"/>
      <c r="T780" s="85"/>
      <c r="U780" s="85"/>
      <c r="V780" s="85"/>
      <c r="W780" s="85"/>
    </row>
    <row r="781" spans="1:23" s="33" customFormat="1" ht="13.8" x14ac:dyDescent="0.25">
      <c r="A781" s="34"/>
      <c r="B781" s="62"/>
      <c r="C781" s="40">
        <v>1</v>
      </c>
      <c r="D781" s="40">
        <v>11.2</v>
      </c>
      <c r="E781" s="40">
        <f>(4.3+4.5)*1.2</f>
        <v>10.56</v>
      </c>
      <c r="F781" s="40"/>
      <c r="G781" s="40"/>
      <c r="H781" s="40">
        <f>+E781*D781</f>
        <v>118.27199999999999</v>
      </c>
      <c r="I781" s="40"/>
      <c r="J781" s="40">
        <f>+H781</f>
        <v>118.27199999999999</v>
      </c>
      <c r="K781" s="40">
        <f t="shared" si="243"/>
        <v>118.27199999999999</v>
      </c>
      <c r="L781" s="40"/>
      <c r="M781" s="62"/>
      <c r="N781" s="62"/>
      <c r="O781" s="32"/>
      <c r="P781" s="85"/>
      <c r="Q781" s="126"/>
      <c r="R781" s="126"/>
      <c r="S781" s="126"/>
      <c r="T781" s="85"/>
      <c r="U781" s="85"/>
      <c r="V781" s="85"/>
      <c r="W781" s="85"/>
    </row>
    <row r="782" spans="1:23" s="33" customFormat="1" ht="13.8" x14ac:dyDescent="0.25">
      <c r="A782" s="34"/>
      <c r="B782" s="41"/>
      <c r="C782" s="40"/>
      <c r="E782" s="40"/>
      <c r="F782" s="40"/>
      <c r="G782" s="40"/>
      <c r="H782" s="40"/>
      <c r="I782" s="40"/>
      <c r="J782" s="40"/>
      <c r="K782" s="40"/>
      <c r="L782" s="40"/>
      <c r="M782" s="59"/>
      <c r="N782" s="97"/>
      <c r="O782" s="32"/>
      <c r="P782" s="85"/>
      <c r="Q782" s="126"/>
      <c r="R782" s="126"/>
      <c r="S782" s="126"/>
      <c r="T782" s="85"/>
      <c r="U782" s="85"/>
      <c r="V782" s="85"/>
      <c r="W782" s="85"/>
    </row>
    <row r="783" spans="1:23" s="33" customFormat="1" ht="13.8" x14ac:dyDescent="0.25">
      <c r="A783" s="69"/>
      <c r="B783" s="60" t="s">
        <v>228</v>
      </c>
      <c r="C783" s="40"/>
      <c r="D783" s="40"/>
      <c r="E783" s="40"/>
      <c r="F783" s="40"/>
      <c r="G783" s="40"/>
      <c r="H783" s="40"/>
      <c r="I783" s="40"/>
      <c r="J783" s="40"/>
      <c r="K783" s="40"/>
      <c r="L783" s="40">
        <v>1.03</v>
      </c>
      <c r="M783" s="59">
        <f>+K784*L783</f>
        <v>26.574000000000002</v>
      </c>
      <c r="N783" s="97" t="s">
        <v>6</v>
      </c>
      <c r="O783" s="32"/>
      <c r="P783" s="85"/>
      <c r="Q783" s="126"/>
      <c r="R783" s="126"/>
      <c r="S783" s="126"/>
      <c r="T783" s="124"/>
      <c r="U783" s="85"/>
      <c r="V783" s="85"/>
      <c r="W783" s="85"/>
    </row>
    <row r="784" spans="1:23" s="33" customFormat="1" ht="13.8" x14ac:dyDescent="0.25">
      <c r="A784" s="34"/>
      <c r="B784" s="62">
        <v>1</v>
      </c>
      <c r="C784" s="40">
        <v>1</v>
      </c>
      <c r="D784" s="40">
        <f>11.2+7.3+7.3</f>
        <v>25.8</v>
      </c>
      <c r="E784" s="40"/>
      <c r="F784" s="40"/>
      <c r="G784" s="40"/>
      <c r="H784" s="40"/>
      <c r="I784" s="40"/>
      <c r="J784" s="40">
        <f>+D784</f>
        <v>25.8</v>
      </c>
      <c r="K784" s="40">
        <f>+J784*C784</f>
        <v>25.8</v>
      </c>
      <c r="L784" s="40"/>
      <c r="M784" s="62"/>
      <c r="N784" s="62"/>
      <c r="O784" s="32"/>
      <c r="P784" s="85"/>
      <c r="Q784" s="126"/>
      <c r="R784" s="126"/>
      <c r="S784" s="126"/>
      <c r="T784" s="85"/>
      <c r="U784" s="85"/>
      <c r="V784" s="85"/>
      <c r="W784" s="85"/>
    </row>
    <row r="785" spans="1:23" s="33" customFormat="1" ht="13.8" x14ac:dyDescent="0.25">
      <c r="A785" s="69"/>
      <c r="B785" s="60"/>
      <c r="C785" s="40"/>
      <c r="D785" s="40"/>
      <c r="E785" s="40"/>
      <c r="F785" s="40"/>
      <c r="G785" s="40"/>
      <c r="H785" s="40"/>
      <c r="I785" s="40"/>
      <c r="J785" s="40"/>
      <c r="O785" s="32"/>
      <c r="P785" s="85"/>
      <c r="Q785" s="126"/>
      <c r="R785" s="126"/>
      <c r="S785" s="126"/>
      <c r="T785" s="85"/>
      <c r="U785" s="85"/>
      <c r="V785" s="85"/>
      <c r="W785" s="85"/>
    </row>
    <row r="786" spans="1:23" s="33" customFormat="1" ht="13.8" x14ac:dyDescent="0.25">
      <c r="A786" s="69"/>
      <c r="B786" s="60" t="s">
        <v>229</v>
      </c>
      <c r="C786" s="40"/>
      <c r="D786" s="40"/>
      <c r="E786" s="40"/>
      <c r="F786" s="40"/>
      <c r="G786" s="40"/>
      <c r="H786" s="40"/>
      <c r="I786" s="40"/>
      <c r="J786" s="40"/>
      <c r="K786" s="40"/>
      <c r="L786" s="40">
        <v>1.03</v>
      </c>
      <c r="M786" s="59">
        <f>+SUM(K787:K788)*L786</f>
        <v>18.128000000000004</v>
      </c>
      <c r="N786" s="97" t="s">
        <v>6</v>
      </c>
      <c r="O786" s="32"/>
      <c r="P786" s="85"/>
      <c r="Q786" s="126"/>
      <c r="R786" s="126"/>
      <c r="S786" s="126"/>
      <c r="T786" s="124"/>
      <c r="U786" s="85"/>
      <c r="V786" s="85"/>
      <c r="W786" s="85"/>
    </row>
    <row r="787" spans="1:23" s="33" customFormat="1" ht="13.8" x14ac:dyDescent="0.25">
      <c r="A787" s="34"/>
      <c r="B787" s="62">
        <v>1</v>
      </c>
      <c r="C787" s="40">
        <v>2</v>
      </c>
      <c r="D787" s="40">
        <f>4.3+4.5</f>
        <v>8.8000000000000007</v>
      </c>
      <c r="E787" s="40"/>
      <c r="F787" s="40"/>
      <c r="G787" s="40"/>
      <c r="H787" s="40"/>
      <c r="I787" s="40"/>
      <c r="J787" s="40">
        <f>+D787</f>
        <v>8.8000000000000007</v>
      </c>
      <c r="K787" s="40">
        <f>+J787*C787</f>
        <v>17.600000000000001</v>
      </c>
      <c r="L787" s="40"/>
      <c r="M787" s="62"/>
      <c r="N787" s="62"/>
      <c r="O787" s="32"/>
      <c r="P787" s="85"/>
      <c r="Q787" s="126"/>
      <c r="R787" s="126"/>
      <c r="S787" s="126"/>
      <c r="T787" s="85"/>
      <c r="U787" s="85"/>
      <c r="V787" s="85"/>
      <c r="W787" s="85"/>
    </row>
    <row r="788" spans="1:23" s="33" customFormat="1" ht="13.8" x14ac:dyDescent="0.25">
      <c r="A788" s="34"/>
      <c r="B788" s="62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62"/>
      <c r="N788" s="62"/>
      <c r="O788" s="32"/>
      <c r="P788" s="85"/>
      <c r="Q788" s="126"/>
      <c r="R788" s="126"/>
      <c r="S788" s="126"/>
      <c r="T788" s="85"/>
      <c r="U788" s="85"/>
      <c r="V788" s="85"/>
      <c r="W788" s="85"/>
    </row>
    <row r="789" spans="1:23" s="33" customFormat="1" ht="13.8" x14ac:dyDescent="0.25">
      <c r="A789" s="69"/>
      <c r="B789" s="60"/>
      <c r="C789" s="40"/>
      <c r="D789" s="40"/>
      <c r="E789" s="40"/>
      <c r="F789" s="40"/>
      <c r="G789" s="40"/>
      <c r="H789" s="40"/>
      <c r="I789" s="40"/>
      <c r="J789" s="40"/>
      <c r="O789" s="32"/>
      <c r="P789" s="85"/>
      <c r="Q789" s="126"/>
      <c r="R789" s="126"/>
      <c r="S789" s="126"/>
      <c r="T789" s="85"/>
      <c r="U789" s="85"/>
      <c r="V789" s="85"/>
      <c r="W789" s="85"/>
    </row>
    <row r="790" spans="1:23" s="33" customFormat="1" ht="13.8" x14ac:dyDescent="0.25">
      <c r="A790" s="69"/>
      <c r="B790" s="60" t="s">
        <v>232</v>
      </c>
      <c r="C790" s="40"/>
      <c r="D790" s="40"/>
      <c r="E790" s="40"/>
      <c r="F790" s="40"/>
      <c r="G790" s="40"/>
      <c r="H790" s="40"/>
      <c r="I790" s="40"/>
      <c r="J790" s="40"/>
      <c r="K790" s="40"/>
      <c r="L790" s="40">
        <v>1.05</v>
      </c>
      <c r="M790" s="59">
        <f>+SUM(K791:K791)*L790</f>
        <v>91.350000000000009</v>
      </c>
      <c r="N790" s="97" t="s">
        <v>6</v>
      </c>
      <c r="O790" s="32"/>
      <c r="P790" s="85"/>
      <c r="Q790" s="126"/>
      <c r="R790" s="126"/>
      <c r="S790" s="126"/>
      <c r="T790" s="85"/>
      <c r="U790" s="85"/>
      <c r="V790" s="85"/>
      <c r="W790" s="85"/>
    </row>
    <row r="791" spans="1:23" s="33" customFormat="1" ht="13.8" x14ac:dyDescent="0.25">
      <c r="A791" s="34"/>
      <c r="B791" s="35"/>
      <c r="C791" s="40">
        <v>6</v>
      </c>
      <c r="D791" s="40">
        <v>14.5</v>
      </c>
      <c r="E791" s="40"/>
      <c r="F791" s="40"/>
      <c r="G791" s="40"/>
      <c r="H791" s="40"/>
      <c r="I791" s="40"/>
      <c r="J791" s="40">
        <f>+D791</f>
        <v>14.5</v>
      </c>
      <c r="K791" s="40">
        <f>+J791*C791</f>
        <v>87</v>
      </c>
      <c r="L791" s="40"/>
      <c r="M791" s="59"/>
      <c r="N791" s="97"/>
      <c r="O791" s="32"/>
      <c r="P791" s="85"/>
      <c r="Q791" s="126"/>
      <c r="R791" s="126"/>
      <c r="S791" s="126"/>
      <c r="T791" s="85"/>
      <c r="U791" s="85"/>
      <c r="V791" s="85"/>
      <c r="W791" s="85"/>
    </row>
    <row r="792" spans="1:23" s="33" customFormat="1" ht="13.8" x14ac:dyDescent="0.25">
      <c r="A792" s="34"/>
      <c r="B792" s="35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59"/>
      <c r="N792" s="97"/>
      <c r="O792" s="32"/>
      <c r="P792" s="85"/>
      <c r="Q792" s="126"/>
      <c r="R792" s="126"/>
      <c r="S792" s="126"/>
      <c r="T792" s="85"/>
      <c r="U792" s="85"/>
      <c r="V792" s="85"/>
      <c r="W792" s="85"/>
    </row>
    <row r="793" spans="1:23" s="33" customFormat="1" ht="13.8" x14ac:dyDescent="0.25">
      <c r="A793" s="69"/>
      <c r="B793" s="60" t="s">
        <v>68</v>
      </c>
      <c r="C793" s="40">
        <f>+C791</f>
        <v>6</v>
      </c>
      <c r="D793" s="40"/>
      <c r="E793" s="40"/>
      <c r="F793" s="40"/>
      <c r="G793" s="40"/>
      <c r="H793" s="40"/>
      <c r="I793" s="40"/>
      <c r="J793" s="40"/>
      <c r="K793" s="40"/>
      <c r="L793" s="40"/>
      <c r="M793" s="59">
        <f>+C793</f>
        <v>6</v>
      </c>
      <c r="N793" s="97" t="s">
        <v>5</v>
      </c>
      <c r="O793" s="32"/>
      <c r="P793" s="85"/>
      <c r="Q793" s="126"/>
      <c r="R793" s="126"/>
      <c r="S793" s="126"/>
      <c r="T793" s="85"/>
      <c r="U793" s="85"/>
      <c r="V793" s="85"/>
      <c r="W793" s="85"/>
    </row>
    <row r="794" spans="1:23" s="66" customFormat="1" ht="13.8" x14ac:dyDescent="0.25">
      <c r="A794" s="34"/>
      <c r="B794" s="41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59"/>
      <c r="N794" s="98"/>
      <c r="O794" s="65"/>
      <c r="P794" s="87"/>
      <c r="Q794" s="128"/>
      <c r="R794" s="128"/>
      <c r="S794" s="128"/>
      <c r="T794" s="87"/>
      <c r="U794" s="87"/>
      <c r="V794" s="87"/>
      <c r="W794" s="87"/>
    </row>
    <row r="795" spans="1:23" s="33" customFormat="1" ht="13.8" x14ac:dyDescent="0.25">
      <c r="A795" s="69"/>
      <c r="B795" s="60" t="s">
        <v>96</v>
      </c>
      <c r="C795" s="40">
        <f>+C793</f>
        <v>6</v>
      </c>
      <c r="D795" s="40"/>
      <c r="E795" s="40"/>
      <c r="F795" s="40"/>
      <c r="G795" s="40"/>
      <c r="H795" s="40"/>
      <c r="I795" s="40"/>
      <c r="J795" s="40"/>
      <c r="K795" s="40"/>
      <c r="L795" s="40"/>
      <c r="M795" s="59">
        <f>+C795</f>
        <v>6</v>
      </c>
      <c r="N795" s="97" t="s">
        <v>5</v>
      </c>
      <c r="O795" s="32"/>
      <c r="P795" s="85"/>
      <c r="Q795" s="126"/>
      <c r="R795" s="126"/>
      <c r="S795" s="126"/>
      <c r="T795" s="85"/>
      <c r="U795" s="85"/>
      <c r="V795" s="85"/>
      <c r="W795" s="85"/>
    </row>
    <row r="796" spans="1:23" s="66" customFormat="1" ht="13.8" x14ac:dyDescent="0.25">
      <c r="A796" s="34"/>
      <c r="B796" s="41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59"/>
      <c r="N796" s="98"/>
      <c r="O796" s="65"/>
      <c r="P796" s="87"/>
      <c r="Q796" s="128"/>
      <c r="R796" s="128"/>
      <c r="S796" s="128"/>
      <c r="T796" s="87"/>
      <c r="U796" s="87"/>
      <c r="V796" s="87"/>
      <c r="W796" s="87"/>
    </row>
    <row r="797" spans="1:23" s="33" customFormat="1" ht="13.8" x14ac:dyDescent="0.25">
      <c r="A797" s="69"/>
      <c r="B797" s="61" t="s">
        <v>259</v>
      </c>
      <c r="C797" s="40"/>
      <c r="D797" s="40"/>
      <c r="E797" s="40"/>
      <c r="F797" s="40"/>
      <c r="G797" s="40"/>
      <c r="H797" s="40"/>
      <c r="I797" s="40"/>
      <c r="J797" s="40"/>
      <c r="K797" s="40"/>
      <c r="L797" s="40">
        <v>1.05</v>
      </c>
      <c r="M797" s="59">
        <f>((+SUM(K799:K812)-16.8))*L797</f>
        <v>164.06249999999997</v>
      </c>
      <c r="N797" s="97" t="s">
        <v>7</v>
      </c>
      <c r="O797" s="32"/>
      <c r="P797" s="85"/>
      <c r="Q797" s="126"/>
      <c r="R797" s="126"/>
      <c r="S797" s="126"/>
      <c r="T797" s="85"/>
      <c r="U797" s="85"/>
      <c r="V797" s="85"/>
      <c r="W797" s="85"/>
    </row>
    <row r="798" spans="1:23" s="66" customFormat="1" ht="13.8" x14ac:dyDescent="0.25">
      <c r="A798" s="34"/>
      <c r="B798" s="68" t="s">
        <v>106</v>
      </c>
      <c r="C798" s="40"/>
      <c r="D798" s="106"/>
      <c r="E798" s="106"/>
      <c r="F798" s="106"/>
      <c r="G798" s="106"/>
      <c r="H798" s="157"/>
      <c r="I798" s="106"/>
      <c r="J798" s="40"/>
      <c r="K798" s="40"/>
      <c r="L798" s="40"/>
      <c r="M798" s="167"/>
      <c r="N798" s="168"/>
      <c r="O798" s="169"/>
      <c r="P798" s="170"/>
      <c r="Q798" s="171"/>
      <c r="R798" s="171"/>
      <c r="S798" s="171"/>
      <c r="T798" s="170"/>
      <c r="U798" s="170"/>
      <c r="V798" s="170"/>
      <c r="W798" s="170"/>
    </row>
    <row r="799" spans="1:23" s="66" customFormat="1" ht="13.8" x14ac:dyDescent="0.25">
      <c r="A799" s="34"/>
      <c r="B799" s="64" t="s">
        <v>604</v>
      </c>
      <c r="C799" s="40">
        <v>1</v>
      </c>
      <c r="D799" s="40"/>
      <c r="E799" s="40"/>
      <c r="F799" s="106"/>
      <c r="G799" s="40"/>
      <c r="H799" s="157">
        <v>4.3</v>
      </c>
      <c r="I799" s="106"/>
      <c r="J799" s="40">
        <f t="shared" ref="J799" si="244">+H799</f>
        <v>4.3</v>
      </c>
      <c r="K799" s="40">
        <f t="shared" ref="K799" si="245">+J799*C799</f>
        <v>4.3</v>
      </c>
      <c r="L799" s="40"/>
      <c r="M799" s="131"/>
      <c r="N799" s="98"/>
      <c r="O799" s="65"/>
      <c r="P799" s="87"/>
      <c r="Q799" s="128"/>
      <c r="R799" s="128"/>
      <c r="S799" s="128"/>
      <c r="T799" s="87"/>
      <c r="U799" s="87"/>
      <c r="V799" s="87"/>
      <c r="W799" s="87"/>
    </row>
    <row r="800" spans="1:23" s="66" customFormat="1" ht="13.8" x14ac:dyDescent="0.25">
      <c r="A800" s="34"/>
      <c r="B800" s="64" t="s">
        <v>605</v>
      </c>
      <c r="C800" s="40">
        <v>1</v>
      </c>
      <c r="D800" s="40">
        <v>8.1999999999999993</v>
      </c>
      <c r="E800" s="40"/>
      <c r="F800" s="106">
        <v>2.5</v>
      </c>
      <c r="G800" s="40"/>
      <c r="H800" s="157">
        <f>+F800*D800</f>
        <v>20.5</v>
      </c>
      <c r="I800" s="106"/>
      <c r="J800" s="40">
        <f t="shared" ref="J800" si="246">+H800</f>
        <v>20.5</v>
      </c>
      <c r="K800" s="40">
        <f t="shared" ref="K800" si="247">+J800*C800</f>
        <v>20.5</v>
      </c>
      <c r="L800" s="40"/>
      <c r="M800" s="131"/>
      <c r="N800" s="98"/>
      <c r="O800" s="65"/>
      <c r="P800" s="87"/>
      <c r="Q800" s="128"/>
      <c r="R800" s="128"/>
      <c r="S800" s="128"/>
      <c r="T800" s="87"/>
      <c r="U800" s="87"/>
      <c r="V800" s="87"/>
      <c r="W800" s="87"/>
    </row>
    <row r="801" spans="1:23" s="66" customFormat="1" ht="13.8" x14ac:dyDescent="0.25">
      <c r="A801" s="34"/>
      <c r="B801" s="64"/>
      <c r="C801" s="40"/>
      <c r="D801" s="40"/>
      <c r="E801" s="40"/>
      <c r="F801" s="106"/>
      <c r="G801" s="40"/>
      <c r="H801" s="157"/>
      <c r="I801" s="106"/>
      <c r="J801" s="40"/>
      <c r="K801" s="40"/>
      <c r="L801" s="40"/>
      <c r="M801" s="131"/>
      <c r="N801" s="98"/>
      <c r="O801" s="65"/>
      <c r="P801" s="87"/>
      <c r="Q801" s="128"/>
      <c r="R801" s="128"/>
      <c r="S801" s="128"/>
      <c r="T801" s="87"/>
      <c r="U801" s="87"/>
      <c r="V801" s="87"/>
      <c r="W801" s="87"/>
    </row>
    <row r="802" spans="1:23" s="66" customFormat="1" ht="13.8" x14ac:dyDescent="0.25">
      <c r="A802" s="34"/>
      <c r="B802" s="68" t="s">
        <v>608</v>
      </c>
      <c r="C802" s="40"/>
      <c r="D802" s="106"/>
      <c r="E802" s="106"/>
      <c r="F802" s="106"/>
      <c r="G802" s="106"/>
      <c r="H802" s="157"/>
      <c r="I802" s="106"/>
      <c r="J802" s="40"/>
      <c r="K802" s="40"/>
      <c r="L802" s="40"/>
      <c r="M802" s="167"/>
      <c r="N802" s="168"/>
      <c r="O802" s="169"/>
      <c r="P802" s="170"/>
      <c r="Q802" s="171"/>
      <c r="R802" s="171"/>
      <c r="S802" s="171"/>
      <c r="T802" s="170"/>
      <c r="U802" s="170"/>
      <c r="V802" s="170"/>
      <c r="W802" s="170"/>
    </row>
    <row r="803" spans="1:23" s="66" customFormat="1" ht="13.8" x14ac:dyDescent="0.25">
      <c r="A803" s="34"/>
      <c r="B803" s="64" t="s">
        <v>606</v>
      </c>
      <c r="C803" s="40">
        <v>2</v>
      </c>
      <c r="D803" s="40"/>
      <c r="E803" s="40"/>
      <c r="F803" s="106"/>
      <c r="G803" s="40"/>
      <c r="H803" s="157">
        <v>3.5</v>
      </c>
      <c r="I803" s="106"/>
      <c r="J803" s="40">
        <f t="shared" ref="J803:J804" si="248">+H803</f>
        <v>3.5</v>
      </c>
      <c r="K803" s="40">
        <f t="shared" ref="K803:K804" si="249">+J803*C803</f>
        <v>7</v>
      </c>
      <c r="L803" s="40"/>
      <c r="M803" s="131"/>
      <c r="N803" s="98"/>
      <c r="O803" s="65"/>
      <c r="P803" s="87"/>
      <c r="Q803" s="128"/>
      <c r="R803" s="128"/>
      <c r="S803" s="128"/>
      <c r="T803" s="87"/>
      <c r="U803" s="87"/>
      <c r="V803" s="87"/>
      <c r="W803" s="87"/>
    </row>
    <row r="804" spans="1:23" s="66" customFormat="1" ht="13.8" x14ac:dyDescent="0.25">
      <c r="A804" s="34"/>
      <c r="B804" s="64" t="s">
        <v>605</v>
      </c>
      <c r="C804" s="40">
        <v>2</v>
      </c>
      <c r="D804" s="40">
        <v>8</v>
      </c>
      <c r="E804" s="40"/>
      <c r="F804" s="106">
        <v>2.5</v>
      </c>
      <c r="G804" s="40"/>
      <c r="H804" s="157">
        <f>+F804*D804</f>
        <v>20</v>
      </c>
      <c r="I804" s="106"/>
      <c r="J804" s="40">
        <f t="shared" si="248"/>
        <v>20</v>
      </c>
      <c r="K804" s="40">
        <f t="shared" si="249"/>
        <v>40</v>
      </c>
      <c r="L804" s="40"/>
      <c r="M804" s="131"/>
      <c r="N804" s="98"/>
      <c r="O804" s="65"/>
      <c r="P804" s="87"/>
      <c r="Q804" s="128"/>
      <c r="R804" s="128"/>
      <c r="S804" s="128"/>
      <c r="T804" s="87"/>
      <c r="U804" s="87"/>
      <c r="V804" s="87"/>
      <c r="W804" s="87"/>
    </row>
    <row r="805" spans="1:23" s="66" customFormat="1" ht="13.8" x14ac:dyDescent="0.25">
      <c r="A805" s="34"/>
      <c r="B805" s="64" t="s">
        <v>607</v>
      </c>
      <c r="C805" s="40">
        <v>2</v>
      </c>
      <c r="D805" s="40"/>
      <c r="E805" s="40"/>
      <c r="F805" s="106"/>
      <c r="G805" s="40"/>
      <c r="H805" s="157">
        <v>4.9000000000000004</v>
      </c>
      <c r="I805" s="106"/>
      <c r="J805" s="40">
        <f t="shared" ref="J805:J806" si="250">+H805</f>
        <v>4.9000000000000004</v>
      </c>
      <c r="K805" s="40">
        <f t="shared" ref="K805:K806" si="251">+J805*C805</f>
        <v>9.8000000000000007</v>
      </c>
      <c r="L805" s="40"/>
      <c r="M805" s="131"/>
      <c r="N805" s="98"/>
      <c r="O805" s="65"/>
      <c r="P805" s="87"/>
      <c r="Q805" s="128"/>
      <c r="R805" s="128"/>
      <c r="S805" s="128"/>
      <c r="T805" s="87"/>
      <c r="U805" s="87"/>
      <c r="V805" s="87"/>
      <c r="W805" s="87"/>
    </row>
    <row r="806" spans="1:23" s="66" customFormat="1" ht="13.8" x14ac:dyDescent="0.25">
      <c r="A806" s="34"/>
      <c r="B806" s="64" t="s">
        <v>605</v>
      </c>
      <c r="C806" s="40">
        <v>2</v>
      </c>
      <c r="D806" s="40">
        <v>8.3000000000000007</v>
      </c>
      <c r="E806" s="40"/>
      <c r="F806" s="106">
        <v>2.5</v>
      </c>
      <c r="G806" s="40"/>
      <c r="H806" s="157">
        <f>+F806*D806</f>
        <v>20.75</v>
      </c>
      <c r="I806" s="106"/>
      <c r="J806" s="40">
        <f t="shared" si="250"/>
        <v>20.75</v>
      </c>
      <c r="K806" s="40">
        <f t="shared" si="251"/>
        <v>41.5</v>
      </c>
      <c r="L806" s="40"/>
      <c r="M806" s="131"/>
      <c r="N806" s="98"/>
      <c r="O806" s="65"/>
      <c r="P806" s="87"/>
      <c r="Q806" s="128"/>
      <c r="R806" s="128"/>
      <c r="S806" s="128"/>
      <c r="T806" s="87"/>
      <c r="U806" s="87"/>
      <c r="V806" s="87"/>
      <c r="W806" s="87"/>
    </row>
    <row r="807" spans="1:23" s="66" customFormat="1" ht="13.8" x14ac:dyDescent="0.25">
      <c r="A807" s="34"/>
      <c r="B807" s="64" t="s">
        <v>227</v>
      </c>
      <c r="C807" s="40">
        <v>2</v>
      </c>
      <c r="D807" s="40">
        <v>5.6</v>
      </c>
      <c r="E807" s="40"/>
      <c r="F807" s="106">
        <v>2.5</v>
      </c>
      <c r="G807" s="40"/>
      <c r="H807" s="157">
        <f>+F807*D807</f>
        <v>14</v>
      </c>
      <c r="I807" s="106"/>
      <c r="J807" s="40">
        <f t="shared" ref="J807" si="252">+H807</f>
        <v>14</v>
      </c>
      <c r="K807" s="40">
        <f t="shared" ref="K807" si="253">+J807*C807</f>
        <v>28</v>
      </c>
      <c r="L807" s="40"/>
      <c r="M807" s="131"/>
      <c r="N807" s="98"/>
      <c r="O807" s="65"/>
      <c r="P807" s="87"/>
      <c r="Q807" s="128"/>
      <c r="R807" s="128"/>
      <c r="S807" s="128"/>
      <c r="T807" s="87"/>
      <c r="U807" s="87"/>
      <c r="V807" s="87"/>
      <c r="W807" s="87"/>
    </row>
    <row r="808" spans="1:23" s="66" customFormat="1" ht="13.8" x14ac:dyDescent="0.25">
      <c r="A808" s="34"/>
      <c r="B808" s="64"/>
      <c r="C808" s="40"/>
      <c r="D808" s="40"/>
      <c r="E808" s="40"/>
      <c r="F808" s="106"/>
      <c r="G808" s="40"/>
      <c r="H808" s="157"/>
      <c r="I808" s="106"/>
      <c r="J808" s="40"/>
      <c r="K808" s="40"/>
      <c r="L808" s="40"/>
      <c r="M808" s="131"/>
      <c r="N808" s="98"/>
      <c r="O808" s="65"/>
      <c r="P808" s="87"/>
      <c r="Q808" s="128"/>
      <c r="R808" s="128"/>
      <c r="S808" s="128"/>
      <c r="T808" s="87"/>
      <c r="U808" s="87"/>
      <c r="V808" s="87"/>
      <c r="W808" s="87"/>
    </row>
    <row r="809" spans="1:23" s="66" customFormat="1" ht="13.8" x14ac:dyDescent="0.25">
      <c r="A809" s="34"/>
      <c r="B809" s="68" t="s">
        <v>205</v>
      </c>
      <c r="C809" s="40"/>
      <c r="D809" s="40"/>
      <c r="E809" s="40"/>
      <c r="F809" s="106"/>
      <c r="G809" s="40"/>
      <c r="H809" s="157"/>
      <c r="I809" s="106"/>
      <c r="J809" s="40"/>
      <c r="K809" s="40"/>
      <c r="L809" s="40"/>
      <c r="M809" s="131"/>
      <c r="N809" s="98"/>
      <c r="O809" s="65"/>
      <c r="P809" s="87"/>
      <c r="Q809" s="128"/>
      <c r="R809" s="128"/>
      <c r="S809" s="128"/>
      <c r="T809" s="87"/>
      <c r="U809" s="87"/>
      <c r="V809" s="87"/>
      <c r="W809" s="87"/>
    </row>
    <row r="810" spans="1:23" s="66" customFormat="1" ht="13.8" x14ac:dyDescent="0.25">
      <c r="A810" s="34"/>
      <c r="B810" s="64" t="s">
        <v>292</v>
      </c>
      <c r="C810" s="40">
        <v>1</v>
      </c>
      <c r="D810" s="40"/>
      <c r="E810" s="40"/>
      <c r="F810" s="106"/>
      <c r="G810" s="40"/>
      <c r="H810" s="157">
        <v>4.2</v>
      </c>
      <c r="I810" s="106"/>
      <c r="J810" s="40">
        <f t="shared" ref="J810:J811" si="254">+H810</f>
        <v>4.2</v>
      </c>
      <c r="K810" s="40">
        <f t="shared" ref="K810:K811" si="255">+J810*C810</f>
        <v>4.2</v>
      </c>
      <c r="L810" s="40"/>
      <c r="M810" s="131"/>
      <c r="N810" s="98"/>
      <c r="O810" s="65"/>
      <c r="P810" s="87"/>
      <c r="Q810" s="128"/>
      <c r="R810" s="128"/>
      <c r="S810" s="128"/>
      <c r="T810" s="87"/>
      <c r="U810" s="87"/>
      <c r="V810" s="87"/>
      <c r="W810" s="87"/>
    </row>
    <row r="811" spans="1:23" s="66" customFormat="1" ht="13.8" x14ac:dyDescent="0.25">
      <c r="A811" s="34"/>
      <c r="B811" s="64" t="s">
        <v>605</v>
      </c>
      <c r="C811" s="40">
        <v>1</v>
      </c>
      <c r="D811" s="40">
        <v>7.1</v>
      </c>
      <c r="E811" s="40"/>
      <c r="F811" s="106">
        <v>2.5</v>
      </c>
      <c r="G811" s="40"/>
      <c r="H811" s="157">
        <f>+F811*D811</f>
        <v>17.75</v>
      </c>
      <c r="I811" s="106"/>
      <c r="J811" s="40">
        <f t="shared" si="254"/>
        <v>17.75</v>
      </c>
      <c r="K811" s="40">
        <f t="shared" si="255"/>
        <v>17.75</v>
      </c>
      <c r="L811" s="40"/>
      <c r="M811" s="131"/>
      <c r="N811" s="98"/>
      <c r="O811" s="65"/>
      <c r="P811" s="87"/>
      <c r="Q811" s="128"/>
      <c r="R811" s="128"/>
      <c r="S811" s="128"/>
      <c r="T811" s="87"/>
      <c r="U811" s="87"/>
      <c r="V811" s="87"/>
      <c r="W811" s="87"/>
    </row>
    <row r="812" spans="1:23" s="66" customFormat="1" ht="13.8" x14ac:dyDescent="0.25">
      <c r="A812" s="34"/>
      <c r="B812" s="64"/>
      <c r="C812" s="40"/>
      <c r="D812" s="40"/>
      <c r="E812" s="40"/>
      <c r="F812" s="106"/>
      <c r="G812" s="40"/>
      <c r="H812" s="157"/>
      <c r="I812" s="106"/>
      <c r="J812" s="40"/>
      <c r="K812" s="40"/>
      <c r="L812" s="40"/>
      <c r="M812" s="131"/>
      <c r="N812" s="98"/>
      <c r="O812" s="65"/>
      <c r="P812" s="87"/>
      <c r="Q812" s="128"/>
      <c r="R812" s="128"/>
      <c r="S812" s="128"/>
      <c r="T812" s="87"/>
      <c r="U812" s="87"/>
      <c r="V812" s="87"/>
      <c r="W812" s="87"/>
    </row>
    <row r="813" spans="1:23" s="33" customFormat="1" ht="13.8" x14ac:dyDescent="0.25">
      <c r="A813" s="34"/>
      <c r="B813" s="35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59"/>
      <c r="N813" s="97"/>
      <c r="O813" s="32"/>
      <c r="P813" s="85"/>
      <c r="Q813" s="126"/>
      <c r="R813" s="126"/>
      <c r="S813" s="126"/>
      <c r="T813" s="85"/>
      <c r="U813" s="85"/>
      <c r="V813" s="85"/>
      <c r="W813" s="85"/>
    </row>
    <row r="814" spans="1:23" s="33" customFormat="1" ht="13.8" x14ac:dyDescent="0.25">
      <c r="A814" s="69"/>
      <c r="B814" s="188" t="s">
        <v>69</v>
      </c>
      <c r="C814" s="40"/>
      <c r="D814" s="40"/>
      <c r="E814" s="40"/>
      <c r="F814" s="40"/>
      <c r="G814" s="40"/>
      <c r="H814" s="40"/>
      <c r="I814" s="40"/>
      <c r="J814" s="40"/>
      <c r="K814" s="40"/>
      <c r="L814" s="40">
        <v>1.05</v>
      </c>
      <c r="M814" s="59">
        <f>+SUM(K815:K819)*L814</f>
        <v>181.06200000000001</v>
      </c>
      <c r="N814" s="97" t="s">
        <v>7</v>
      </c>
      <c r="O814" s="32"/>
      <c r="P814" s="85"/>
      <c r="Q814" s="126"/>
      <c r="R814" s="126"/>
      <c r="S814" s="126"/>
      <c r="T814" s="85"/>
      <c r="U814" s="85"/>
      <c r="V814" s="85"/>
      <c r="W814" s="85"/>
    </row>
    <row r="815" spans="1:23" s="33" customFormat="1" ht="13.8" x14ac:dyDescent="0.25">
      <c r="A815" s="69"/>
      <c r="B815" s="61" t="s">
        <v>205</v>
      </c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59"/>
      <c r="N815" s="97"/>
      <c r="O815" s="32"/>
      <c r="P815" s="85"/>
      <c r="Q815" s="126"/>
      <c r="R815" s="126"/>
      <c r="S815" s="126"/>
      <c r="T815" s="85"/>
      <c r="U815" s="85"/>
      <c r="V815" s="85"/>
      <c r="W815" s="85"/>
    </row>
    <row r="816" spans="1:23" s="33" customFormat="1" ht="13.8" x14ac:dyDescent="0.25">
      <c r="A816" s="69"/>
      <c r="B816" s="35" t="s">
        <v>609</v>
      </c>
      <c r="C816" s="40">
        <v>1</v>
      </c>
      <c r="D816" s="40"/>
      <c r="E816" s="40"/>
      <c r="F816" s="40"/>
      <c r="G816" s="40"/>
      <c r="H816" s="40">
        <v>8.9</v>
      </c>
      <c r="I816" s="40"/>
      <c r="J816" s="40">
        <f t="shared" ref="J816:J819" si="256">+H816</f>
        <v>8.9</v>
      </c>
      <c r="K816" s="40">
        <f t="shared" ref="K816:K819" si="257">+J816*C816</f>
        <v>8.9</v>
      </c>
      <c r="L816" s="40"/>
      <c r="M816" s="59"/>
      <c r="N816" s="97"/>
      <c r="O816" s="32"/>
      <c r="P816" s="85"/>
      <c r="Q816" s="126"/>
      <c r="R816" s="126"/>
      <c r="S816" s="126"/>
      <c r="T816" s="85"/>
      <c r="U816" s="85"/>
      <c r="V816" s="85"/>
      <c r="W816" s="85"/>
    </row>
    <row r="817" spans="1:23" s="33" customFormat="1" ht="13.8" x14ac:dyDescent="0.25">
      <c r="A817" s="69"/>
      <c r="B817" s="35" t="s">
        <v>581</v>
      </c>
      <c r="C817" s="40">
        <v>1</v>
      </c>
      <c r="D817" s="40"/>
      <c r="E817" s="40"/>
      <c r="F817" s="40"/>
      <c r="G817" s="40"/>
      <c r="H817" s="40">
        <v>93.9</v>
      </c>
      <c r="I817" s="40"/>
      <c r="J817" s="40">
        <f t="shared" si="256"/>
        <v>93.9</v>
      </c>
      <c r="K817" s="40">
        <f t="shared" si="257"/>
        <v>93.9</v>
      </c>
      <c r="L817" s="40"/>
      <c r="M817" s="59"/>
      <c r="N817" s="97"/>
      <c r="O817" s="32"/>
      <c r="P817" s="85"/>
      <c r="Q817" s="126"/>
      <c r="R817" s="126"/>
      <c r="S817" s="126"/>
      <c r="T817" s="85"/>
      <c r="U817" s="85"/>
      <c r="V817" s="85"/>
      <c r="W817" s="85"/>
    </row>
    <row r="818" spans="1:23" s="33" customFormat="1" ht="13.8" x14ac:dyDescent="0.25">
      <c r="A818" s="69"/>
      <c r="B818" s="35" t="s">
        <v>580</v>
      </c>
      <c r="C818" s="40">
        <v>1</v>
      </c>
      <c r="D818" s="40"/>
      <c r="E818" s="40"/>
      <c r="F818" s="40"/>
      <c r="G818" s="40"/>
      <c r="H818" s="40">
        <v>49</v>
      </c>
      <c r="I818" s="40"/>
      <c r="J818" s="40">
        <f t="shared" si="256"/>
        <v>49</v>
      </c>
      <c r="K818" s="40">
        <f t="shared" si="257"/>
        <v>49</v>
      </c>
      <c r="L818" s="40"/>
      <c r="M818" s="59"/>
      <c r="N818" s="97"/>
      <c r="O818" s="32"/>
      <c r="P818" s="85"/>
      <c r="Q818" s="126"/>
      <c r="R818" s="126"/>
      <c r="S818" s="126"/>
      <c r="T818" s="85"/>
      <c r="U818" s="85"/>
      <c r="V818" s="85"/>
      <c r="W818" s="85"/>
    </row>
    <row r="819" spans="1:23" s="33" customFormat="1" ht="13.8" x14ac:dyDescent="0.25">
      <c r="A819" s="69"/>
      <c r="B819" s="35" t="s">
        <v>108</v>
      </c>
      <c r="C819" s="40">
        <v>1</v>
      </c>
      <c r="D819" s="40">
        <f>+D772+D774+D776</f>
        <v>25.8</v>
      </c>
      <c r="E819" s="40"/>
      <c r="F819" s="40">
        <v>0.8</v>
      </c>
      <c r="G819" s="40"/>
      <c r="H819" s="40">
        <f>+F819*D819</f>
        <v>20.64</v>
      </c>
      <c r="I819" s="40"/>
      <c r="J819" s="40">
        <f t="shared" si="256"/>
        <v>20.64</v>
      </c>
      <c r="K819" s="40">
        <f t="shared" si="257"/>
        <v>20.64</v>
      </c>
      <c r="L819" s="40"/>
      <c r="M819" s="59"/>
      <c r="N819" s="97"/>
      <c r="O819" s="32"/>
      <c r="P819" s="85"/>
      <c r="Q819" s="126"/>
      <c r="R819" s="126"/>
      <c r="S819" s="126"/>
      <c r="T819" s="85"/>
      <c r="U819" s="85"/>
      <c r="V819" s="85"/>
      <c r="W819" s="85"/>
    </row>
    <row r="820" spans="1:23" s="33" customFormat="1" ht="13.8" x14ac:dyDescent="0.25">
      <c r="A820" s="69"/>
      <c r="B820" s="35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59"/>
      <c r="N820" s="97"/>
      <c r="O820" s="32"/>
      <c r="P820" s="85"/>
      <c r="Q820" s="126"/>
      <c r="R820" s="126"/>
      <c r="S820" s="126"/>
      <c r="T820" s="85"/>
      <c r="U820" s="85"/>
      <c r="V820" s="85"/>
      <c r="W820" s="85"/>
    </row>
    <row r="821" spans="1:23" s="33" customFormat="1" ht="13.8" x14ac:dyDescent="0.25">
      <c r="A821" s="69"/>
      <c r="B821" s="188" t="s">
        <v>374</v>
      </c>
      <c r="C821" s="40"/>
      <c r="D821" s="40"/>
      <c r="E821" s="40"/>
      <c r="F821" s="40"/>
      <c r="G821" s="40"/>
      <c r="H821" s="40"/>
      <c r="I821" s="40"/>
      <c r="J821" s="40"/>
      <c r="K821" s="40">
        <f>+SUM(K823:K823)</f>
        <v>114.4</v>
      </c>
      <c r="L821" s="40">
        <v>1.03</v>
      </c>
      <c r="M821" s="59">
        <f>+SUM(K822:K823)*L821</f>
        <v>117.83200000000001</v>
      </c>
      <c r="N821" s="97" t="s">
        <v>7</v>
      </c>
      <c r="O821" s="32"/>
      <c r="P821" s="85"/>
      <c r="Q821" s="126"/>
      <c r="R821" s="126"/>
      <c r="S821" s="126"/>
      <c r="T821" s="85"/>
      <c r="U821" s="85"/>
      <c r="V821" s="85"/>
      <c r="W821" s="85"/>
    </row>
    <row r="822" spans="1:23" s="33" customFormat="1" ht="13.8" x14ac:dyDescent="0.25">
      <c r="A822" s="69"/>
      <c r="B822" s="61" t="s">
        <v>205</v>
      </c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59"/>
      <c r="N822" s="97"/>
      <c r="O822" s="32"/>
      <c r="P822" s="85"/>
      <c r="Q822" s="126"/>
      <c r="R822" s="126"/>
      <c r="S822" s="126"/>
      <c r="T822" s="85"/>
      <c r="U822" s="85"/>
      <c r="V822" s="85"/>
      <c r="W822" s="85"/>
    </row>
    <row r="823" spans="1:23" s="33" customFormat="1" ht="13.8" x14ac:dyDescent="0.25">
      <c r="A823" s="69"/>
      <c r="B823" s="35" t="s">
        <v>610</v>
      </c>
      <c r="C823" s="40">
        <v>1</v>
      </c>
      <c r="D823" s="40">
        <f>8.8+16.1+4.5+14.6</f>
        <v>44</v>
      </c>
      <c r="E823" s="40">
        <v>2.6</v>
      </c>
      <c r="F823" s="40"/>
      <c r="G823" s="40"/>
      <c r="H823" s="40">
        <f>+E823*D823</f>
        <v>114.4</v>
      </c>
      <c r="I823" s="40"/>
      <c r="J823" s="40">
        <f t="shared" ref="J823" si="258">+H823</f>
        <v>114.4</v>
      </c>
      <c r="K823" s="40">
        <f t="shared" ref="K823" si="259">+J823*C823</f>
        <v>114.4</v>
      </c>
      <c r="L823" s="40"/>
      <c r="M823" s="59"/>
      <c r="N823" s="97"/>
      <c r="O823" s="32"/>
      <c r="P823" s="85"/>
      <c r="Q823" s="126"/>
      <c r="R823" s="126"/>
      <c r="S823" s="126"/>
      <c r="T823" s="85"/>
      <c r="U823" s="85"/>
      <c r="V823" s="85"/>
      <c r="W823" s="85"/>
    </row>
    <row r="824" spans="1:23" s="33" customFormat="1" ht="13.8" x14ac:dyDescent="0.25">
      <c r="A824" s="69"/>
      <c r="B824" s="35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59"/>
      <c r="N824" s="97"/>
      <c r="O824" s="32"/>
      <c r="P824" s="85"/>
      <c r="Q824" s="126"/>
      <c r="R824" s="126"/>
      <c r="S824" s="126"/>
      <c r="T824" s="85"/>
      <c r="U824" s="85"/>
      <c r="V824" s="85"/>
      <c r="W824" s="85"/>
    </row>
    <row r="825" spans="1:23" s="33" customFormat="1" ht="13.8" x14ac:dyDescent="0.25">
      <c r="A825" s="28" t="s">
        <v>9</v>
      </c>
      <c r="B825" s="29" t="s">
        <v>17</v>
      </c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59"/>
      <c r="N825" s="96"/>
      <c r="O825" s="32"/>
      <c r="P825" s="85"/>
      <c r="Q825" s="126"/>
      <c r="R825" s="126"/>
      <c r="S825" s="126"/>
      <c r="T825" s="85"/>
      <c r="U825" s="85"/>
      <c r="V825" s="85"/>
      <c r="W825" s="85"/>
    </row>
    <row r="826" spans="1:23" s="33" customFormat="1" ht="13.8" x14ac:dyDescent="0.25">
      <c r="A826" s="34"/>
      <c r="B826" s="35" t="s">
        <v>109</v>
      </c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59"/>
      <c r="N826" s="96"/>
      <c r="O826" s="32"/>
      <c r="P826" s="85"/>
      <c r="Q826" s="126"/>
      <c r="R826" s="126"/>
      <c r="S826" s="126"/>
      <c r="T826" s="85"/>
      <c r="U826" s="85"/>
      <c r="V826" s="85"/>
      <c r="W826" s="85"/>
    </row>
    <row r="827" spans="1:23" s="33" customFormat="1" ht="13.8" x14ac:dyDescent="0.25">
      <c r="A827" s="34"/>
      <c r="B827" s="35" t="s">
        <v>98</v>
      </c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59">
        <f>+K827</f>
        <v>0</v>
      </c>
      <c r="N827" s="97" t="s">
        <v>6</v>
      </c>
      <c r="O827" s="32"/>
      <c r="P827" s="85"/>
      <c r="Q827" s="126"/>
      <c r="R827" s="126"/>
      <c r="S827" s="126"/>
      <c r="T827" s="85"/>
      <c r="U827" s="85"/>
      <c r="V827" s="85"/>
      <c r="W827" s="85"/>
    </row>
    <row r="828" spans="1:23" s="33" customFormat="1" ht="13.8" x14ac:dyDescent="0.25">
      <c r="A828" s="34"/>
      <c r="B828" s="35" t="s">
        <v>54</v>
      </c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59">
        <f>+K828</f>
        <v>0</v>
      </c>
      <c r="N828" s="97" t="s">
        <v>5</v>
      </c>
      <c r="O828" s="32"/>
      <c r="P828" s="85"/>
      <c r="Q828" s="126"/>
      <c r="R828" s="126"/>
      <c r="S828" s="126"/>
      <c r="T828" s="85"/>
      <c r="U828" s="85"/>
      <c r="V828" s="85"/>
      <c r="W828" s="85"/>
    </row>
    <row r="829" spans="1:23" s="66" customFormat="1" ht="13.8" x14ac:dyDescent="0.25">
      <c r="A829" s="34"/>
      <c r="B829" s="35" t="s">
        <v>100</v>
      </c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59">
        <f>+K829</f>
        <v>0</v>
      </c>
      <c r="N829" s="97" t="s">
        <v>5</v>
      </c>
      <c r="O829" s="65"/>
      <c r="P829" s="87"/>
      <c r="Q829" s="128"/>
      <c r="R829" s="128"/>
      <c r="S829" s="128"/>
      <c r="T829" s="87"/>
      <c r="U829" s="87"/>
      <c r="V829" s="87"/>
      <c r="W829" s="87"/>
    </row>
    <row r="830" spans="1:23" s="66" customFormat="1" ht="13.8" x14ac:dyDescent="0.25">
      <c r="A830" s="34"/>
      <c r="B830" s="35" t="s">
        <v>126</v>
      </c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59">
        <f>+K830</f>
        <v>0</v>
      </c>
      <c r="N830" s="97" t="s">
        <v>5</v>
      </c>
      <c r="O830" s="65"/>
      <c r="P830" s="87"/>
      <c r="Q830" s="128"/>
      <c r="R830" s="128"/>
      <c r="S830" s="128"/>
      <c r="T830" s="87"/>
      <c r="U830" s="87"/>
      <c r="V830" s="87"/>
      <c r="W830" s="87"/>
    </row>
    <row r="831" spans="1:23" s="33" customFormat="1" ht="13.8" x14ac:dyDescent="0.25">
      <c r="A831" s="28" t="s">
        <v>34</v>
      </c>
      <c r="B831" s="29" t="s">
        <v>33</v>
      </c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59"/>
      <c r="N831" s="97"/>
      <c r="O831" s="32"/>
      <c r="P831" s="85"/>
      <c r="Q831" s="126"/>
      <c r="R831" s="126"/>
      <c r="S831" s="126"/>
      <c r="T831" s="85"/>
      <c r="U831" s="85"/>
      <c r="V831" s="85"/>
      <c r="W831" s="85"/>
    </row>
    <row r="832" spans="1:23" s="66" customFormat="1" ht="13.8" x14ac:dyDescent="0.25">
      <c r="A832" s="34"/>
      <c r="B832" s="39"/>
      <c r="C832" s="40"/>
      <c r="D832" s="40"/>
      <c r="E832" s="40"/>
      <c r="F832" s="40"/>
      <c r="G832" s="40"/>
      <c r="H832" s="40"/>
      <c r="I832" s="40"/>
      <c r="J832" s="40"/>
      <c r="K832" s="156"/>
      <c r="L832" s="40"/>
      <c r="M832" s="59"/>
      <c r="N832" s="98"/>
      <c r="O832" s="65"/>
      <c r="P832" s="87"/>
      <c r="Q832" s="128"/>
      <c r="R832" s="128"/>
      <c r="S832" s="128"/>
      <c r="T832" s="87"/>
      <c r="U832" s="87"/>
      <c r="V832" s="87"/>
      <c r="W832" s="87"/>
    </row>
    <row r="833" spans="1:23" s="33" customFormat="1" ht="13.8" x14ac:dyDescent="0.25">
      <c r="A833" s="69" t="s">
        <v>90</v>
      </c>
      <c r="B833" s="61" t="s">
        <v>132</v>
      </c>
      <c r="C833" s="40"/>
      <c r="D833" s="40"/>
      <c r="E833" s="40"/>
      <c r="F833" s="40"/>
      <c r="G833" s="40"/>
      <c r="H833" s="40"/>
      <c r="I833" s="40"/>
      <c r="J833" s="40"/>
      <c r="K833" s="226">
        <f>+SUM(K834:K837)</f>
        <v>1279.5659999999996</v>
      </c>
      <c r="L833" s="40">
        <v>1.05</v>
      </c>
      <c r="M833" s="59">
        <f>+K833*L833</f>
        <v>1343.5442999999996</v>
      </c>
      <c r="N833" s="97" t="s">
        <v>7</v>
      </c>
      <c r="O833" s="32"/>
      <c r="P833" s="85"/>
      <c r="Q833" s="126"/>
      <c r="R833" s="126"/>
      <c r="S833" s="126"/>
      <c r="T833" s="85"/>
      <c r="U833" s="85"/>
      <c r="V833" s="85"/>
      <c r="W833" s="85"/>
    </row>
    <row r="834" spans="1:23" s="66" customFormat="1" ht="13.8" x14ac:dyDescent="0.25">
      <c r="A834" s="34"/>
      <c r="B834" s="39" t="s">
        <v>335</v>
      </c>
      <c r="C834" s="40">
        <v>1</v>
      </c>
      <c r="D834" s="40"/>
      <c r="E834" s="40"/>
      <c r="F834" s="40"/>
      <c r="G834" s="40"/>
      <c r="H834" s="40"/>
      <c r="I834" s="40"/>
      <c r="J834" s="40"/>
      <c r="K834" s="156">
        <f t="shared" ref="K834" si="260">+H834*C834</f>
        <v>0</v>
      </c>
      <c r="L834" s="40"/>
      <c r="M834" s="59"/>
      <c r="N834" s="98"/>
      <c r="O834" s="65"/>
      <c r="P834" s="87"/>
      <c r="Q834" s="128"/>
      <c r="R834" s="128"/>
      <c r="S834" s="128"/>
      <c r="T834" s="87"/>
      <c r="U834" s="87"/>
      <c r="V834" s="87"/>
      <c r="W834" s="87"/>
    </row>
    <row r="835" spans="1:23" s="66" customFormat="1" ht="13.8" x14ac:dyDescent="0.25">
      <c r="A835" s="34"/>
      <c r="B835" s="39" t="s">
        <v>650</v>
      </c>
      <c r="C835" s="40">
        <v>2</v>
      </c>
      <c r="D835" s="40"/>
      <c r="E835" s="40"/>
      <c r="F835" s="40"/>
      <c r="G835" s="40"/>
      <c r="H835" s="40">
        <f>+METRE!K958</f>
        <v>71.239999999999995</v>
      </c>
      <c r="I835" s="40"/>
      <c r="J835" s="40"/>
      <c r="K835" s="156">
        <f t="shared" ref="K835:K836" si="261">+H835*C835</f>
        <v>142.47999999999999</v>
      </c>
      <c r="L835" s="40"/>
      <c r="M835" s="59"/>
      <c r="N835" s="98"/>
      <c r="O835" s="65"/>
      <c r="P835" s="87"/>
      <c r="Q835" s="128"/>
      <c r="R835" s="128"/>
      <c r="S835" s="128"/>
      <c r="T835" s="87"/>
      <c r="U835" s="87"/>
      <c r="V835" s="87"/>
      <c r="W835" s="87"/>
    </row>
    <row r="836" spans="1:23" s="66" customFormat="1" ht="13.8" x14ac:dyDescent="0.25">
      <c r="A836" s="34"/>
      <c r="B836" s="39" t="s">
        <v>649</v>
      </c>
      <c r="C836" s="40">
        <v>2</v>
      </c>
      <c r="D836" s="40"/>
      <c r="E836" s="40"/>
      <c r="F836" s="40"/>
      <c r="G836" s="40"/>
      <c r="H836" s="40">
        <f>+K980</f>
        <v>30.29</v>
      </c>
      <c r="I836" s="40"/>
      <c r="J836" s="40"/>
      <c r="K836" s="156">
        <f t="shared" si="261"/>
        <v>60.58</v>
      </c>
      <c r="L836" s="40"/>
      <c r="M836" s="59"/>
      <c r="N836" s="98"/>
      <c r="O836" s="65"/>
      <c r="P836" s="87"/>
      <c r="Q836" s="128"/>
      <c r="R836" s="128"/>
      <c r="S836" s="128"/>
      <c r="T836" s="87"/>
      <c r="U836" s="87"/>
      <c r="V836" s="87"/>
      <c r="W836" s="87"/>
    </row>
    <row r="837" spans="1:23" s="66" customFormat="1" ht="13.8" x14ac:dyDescent="0.25">
      <c r="A837" s="34"/>
      <c r="B837" s="39" t="s">
        <v>651</v>
      </c>
      <c r="C837" s="40">
        <v>1</v>
      </c>
      <c r="D837" s="40"/>
      <c r="E837" s="40"/>
      <c r="F837" s="40"/>
      <c r="G837" s="40"/>
      <c r="H837" s="40">
        <f>+K632</f>
        <v>1076.5059999999996</v>
      </c>
      <c r="I837" s="40"/>
      <c r="J837" s="40"/>
      <c r="K837" s="156">
        <f t="shared" ref="K837" si="262">+H837*C837</f>
        <v>1076.5059999999996</v>
      </c>
      <c r="L837" s="40"/>
      <c r="M837" s="59"/>
      <c r="N837" s="98"/>
      <c r="O837" s="65"/>
      <c r="P837" s="87"/>
      <c r="Q837" s="128"/>
      <c r="R837" s="128"/>
      <c r="S837" s="128"/>
      <c r="T837" s="87"/>
      <c r="U837" s="87"/>
      <c r="V837" s="87"/>
      <c r="W837" s="87"/>
    </row>
    <row r="838" spans="1:23" s="66" customFormat="1" ht="13.8" x14ac:dyDescent="0.25">
      <c r="A838" s="34"/>
      <c r="B838" s="39"/>
      <c r="C838" s="40"/>
      <c r="D838" s="40"/>
      <c r="E838" s="40"/>
      <c r="F838" s="40"/>
      <c r="G838" s="40"/>
      <c r="H838" s="40"/>
      <c r="I838" s="40"/>
      <c r="J838" s="40"/>
      <c r="K838" s="156"/>
      <c r="L838" s="40"/>
      <c r="M838" s="59"/>
      <c r="N838" s="98"/>
      <c r="O838" s="65"/>
      <c r="P838" s="87"/>
      <c r="Q838" s="128"/>
      <c r="R838" s="128"/>
      <c r="S838" s="128"/>
      <c r="T838" s="87"/>
      <c r="U838" s="87"/>
      <c r="V838" s="87"/>
      <c r="W838" s="87"/>
    </row>
    <row r="839" spans="1:23" s="66" customFormat="1" ht="13.8" x14ac:dyDescent="0.25">
      <c r="A839" s="34"/>
      <c r="B839" s="39"/>
      <c r="C839" s="40"/>
      <c r="D839" s="40"/>
      <c r="E839" s="40"/>
      <c r="F839" s="40"/>
      <c r="G839" s="40"/>
      <c r="H839" s="40"/>
      <c r="I839" s="40"/>
      <c r="J839" s="40"/>
      <c r="K839" s="156"/>
      <c r="L839" s="40"/>
      <c r="M839" s="59"/>
      <c r="N839" s="98"/>
      <c r="O839" s="65"/>
      <c r="P839" s="87"/>
      <c r="Q839" s="128"/>
      <c r="R839" s="128"/>
      <c r="S839" s="128"/>
      <c r="T839" s="87"/>
      <c r="U839" s="87"/>
      <c r="V839" s="87"/>
      <c r="W839" s="87"/>
    </row>
    <row r="840" spans="1:23" s="33" customFormat="1" ht="13.8" x14ac:dyDescent="0.25">
      <c r="A840" s="69" t="s">
        <v>89</v>
      </c>
      <c r="B840" s="61" t="s">
        <v>338</v>
      </c>
      <c r="C840" s="40"/>
      <c r="D840" s="40"/>
      <c r="E840" s="40"/>
      <c r="F840" s="40"/>
      <c r="G840" s="40"/>
      <c r="H840" s="40"/>
      <c r="I840" s="40"/>
      <c r="J840" s="40"/>
      <c r="K840" s="131">
        <f>+SUM(K841:K842)</f>
        <v>2200.2759999999998</v>
      </c>
      <c r="L840" s="40">
        <v>1.05</v>
      </c>
      <c r="M840" s="59">
        <f>+L840*K840</f>
        <v>2310.2898</v>
      </c>
      <c r="N840" s="97" t="s">
        <v>7</v>
      </c>
      <c r="O840" s="32"/>
      <c r="P840" s="85"/>
      <c r="Q840" s="126"/>
      <c r="R840" s="126"/>
      <c r="S840" s="126"/>
      <c r="T840" s="85"/>
      <c r="U840" s="85"/>
      <c r="V840" s="85"/>
      <c r="W840" s="85"/>
    </row>
    <row r="841" spans="1:23" s="33" customFormat="1" ht="13.8" x14ac:dyDescent="0.25">
      <c r="A841" s="69"/>
      <c r="B841" s="61" t="s">
        <v>132</v>
      </c>
      <c r="C841" s="40">
        <v>1</v>
      </c>
      <c r="D841" s="40"/>
      <c r="E841" s="40"/>
      <c r="F841" s="40"/>
      <c r="G841" s="40"/>
      <c r="H841" s="40">
        <f>+K833</f>
        <v>1279.5659999999996</v>
      </c>
      <c r="I841" s="40"/>
      <c r="J841" s="40"/>
      <c r="K841" s="156">
        <f>+H841*C841</f>
        <v>1279.5659999999996</v>
      </c>
      <c r="L841" s="40"/>
      <c r="M841" s="59"/>
      <c r="N841" s="159"/>
      <c r="O841" s="32"/>
      <c r="P841" s="85"/>
      <c r="Q841" s="126"/>
      <c r="R841" s="126"/>
      <c r="S841" s="126"/>
      <c r="T841" s="85"/>
      <c r="U841" s="85"/>
      <c r="V841" s="85"/>
      <c r="W841" s="85"/>
    </row>
    <row r="842" spans="1:23" s="33" customFormat="1" ht="13.8" x14ac:dyDescent="0.25">
      <c r="A842" s="69"/>
      <c r="B842" s="61" t="s">
        <v>340</v>
      </c>
      <c r="C842" s="40">
        <v>1</v>
      </c>
      <c r="D842" s="40"/>
      <c r="E842" s="40"/>
      <c r="F842" s="40"/>
      <c r="G842" s="40"/>
      <c r="H842" s="40">
        <f>+K651</f>
        <v>920.71000000000015</v>
      </c>
      <c r="I842" s="40"/>
      <c r="J842" s="40"/>
      <c r="K842" s="156">
        <f>+H842*C842</f>
        <v>920.71000000000015</v>
      </c>
      <c r="L842" s="40"/>
      <c r="M842" s="59"/>
      <c r="N842" s="159"/>
      <c r="O842" s="32"/>
      <c r="P842" s="85"/>
      <c r="Q842" s="126"/>
      <c r="R842" s="126"/>
      <c r="S842" s="126"/>
      <c r="T842" s="85"/>
      <c r="U842" s="85"/>
      <c r="V842" s="85"/>
      <c r="W842" s="85"/>
    </row>
    <row r="843" spans="1:23" s="66" customFormat="1" ht="13.8" x14ac:dyDescent="0.25">
      <c r="A843" s="34"/>
      <c r="B843" s="39"/>
      <c r="C843" s="40"/>
      <c r="D843" s="40"/>
      <c r="E843" s="40"/>
      <c r="F843" s="40"/>
      <c r="G843" s="40"/>
      <c r="H843" s="40"/>
      <c r="I843" s="40"/>
      <c r="J843" s="40"/>
      <c r="K843" s="156"/>
      <c r="L843" s="40"/>
      <c r="M843" s="59"/>
      <c r="N843" s="98"/>
      <c r="O843" s="65"/>
      <c r="P843" s="87"/>
      <c r="Q843" s="128"/>
      <c r="R843" s="128"/>
      <c r="S843" s="128"/>
      <c r="T843" s="87"/>
      <c r="U843" s="87"/>
      <c r="V843" s="87"/>
      <c r="W843" s="87"/>
    </row>
    <row r="844" spans="1:23" s="66" customFormat="1" ht="13.8" x14ac:dyDescent="0.25">
      <c r="A844" s="34"/>
      <c r="B844" s="39"/>
      <c r="C844" s="40"/>
      <c r="D844" s="40"/>
      <c r="E844" s="40"/>
      <c r="F844" s="40"/>
      <c r="G844" s="40"/>
      <c r="H844" s="40"/>
      <c r="I844" s="40"/>
      <c r="J844" s="40"/>
      <c r="K844" s="156"/>
      <c r="L844" s="40"/>
      <c r="M844" s="59"/>
      <c r="N844" s="98"/>
      <c r="O844" s="65"/>
      <c r="P844" s="87"/>
      <c r="Q844" s="128"/>
      <c r="R844" s="128"/>
      <c r="S844" s="128"/>
      <c r="T844" s="87"/>
      <c r="U844" s="87"/>
      <c r="V844" s="87"/>
      <c r="W844" s="87"/>
    </row>
    <row r="845" spans="1:23" s="33" customFormat="1" ht="13.8" x14ac:dyDescent="0.25">
      <c r="A845" s="69" t="s">
        <v>90</v>
      </c>
      <c r="B845" s="61" t="s">
        <v>339</v>
      </c>
      <c r="C845" s="40"/>
      <c r="D845" s="40"/>
      <c r="E845" s="40"/>
      <c r="F845" s="40"/>
      <c r="G845" s="40"/>
      <c r="H845" s="40"/>
      <c r="I845" s="40"/>
      <c r="J845" s="40"/>
      <c r="K845" s="226">
        <f>+SUM(K846:K846)</f>
        <v>1279.5659999999996</v>
      </c>
      <c r="L845" s="40">
        <v>1.05</v>
      </c>
      <c r="M845" s="59">
        <f>+K845*L845</f>
        <v>1343.5442999999996</v>
      </c>
      <c r="N845" s="97" t="s">
        <v>7</v>
      </c>
      <c r="O845" s="32"/>
      <c r="P845" s="85"/>
      <c r="Q845" s="126"/>
      <c r="R845" s="126"/>
      <c r="S845" s="126"/>
      <c r="T845" s="85"/>
      <c r="U845" s="85"/>
      <c r="V845" s="85"/>
      <c r="W845" s="85"/>
    </row>
    <row r="846" spans="1:23" s="66" customFormat="1" ht="13.8" x14ac:dyDescent="0.25">
      <c r="A846" s="34"/>
      <c r="B846" s="61" t="s">
        <v>132</v>
      </c>
      <c r="C846" s="40">
        <v>1</v>
      </c>
      <c r="D846" s="40"/>
      <c r="E846" s="40"/>
      <c r="F846" s="40"/>
      <c r="G846" s="40"/>
      <c r="H846" s="40">
        <f>+K833</f>
        <v>1279.5659999999996</v>
      </c>
      <c r="I846" s="40"/>
      <c r="J846" s="40"/>
      <c r="K846" s="156">
        <f>+H846*C846</f>
        <v>1279.5659999999996</v>
      </c>
      <c r="L846" s="40"/>
      <c r="M846" s="59"/>
      <c r="N846" s="98"/>
      <c r="O846" s="65"/>
      <c r="P846" s="87"/>
      <c r="Q846" s="128"/>
      <c r="R846" s="128"/>
      <c r="S846" s="128"/>
      <c r="T846" s="87"/>
      <c r="U846" s="87"/>
      <c r="V846" s="87"/>
      <c r="W846" s="87"/>
    </row>
    <row r="847" spans="1:23" s="66" customFormat="1" ht="13.8" x14ac:dyDescent="0.25">
      <c r="A847" s="34"/>
      <c r="B847" s="39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59"/>
      <c r="N847" s="98"/>
      <c r="O847" s="65"/>
      <c r="P847" s="87"/>
      <c r="Q847" s="128"/>
      <c r="R847" s="128"/>
      <c r="S847" s="128"/>
      <c r="T847" s="87"/>
      <c r="U847" s="87"/>
      <c r="V847" s="87"/>
      <c r="W847" s="87"/>
    </row>
    <row r="848" spans="1:23" s="33" customFormat="1" ht="13.8" x14ac:dyDescent="0.25">
      <c r="A848" s="69" t="s">
        <v>101</v>
      </c>
      <c r="B848" s="61" t="s">
        <v>652</v>
      </c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59"/>
      <c r="N848" s="97"/>
      <c r="O848" s="32"/>
      <c r="P848" s="85"/>
      <c r="Q848" s="126"/>
      <c r="R848" s="126"/>
      <c r="S848" s="126"/>
      <c r="T848" s="85"/>
      <c r="U848" s="85"/>
      <c r="V848" s="85"/>
      <c r="W848" s="85"/>
    </row>
    <row r="849" spans="1:23" s="33" customFormat="1" ht="13.8" x14ac:dyDescent="0.25">
      <c r="A849" s="34"/>
      <c r="B849" s="58" t="s">
        <v>341</v>
      </c>
      <c r="C849" s="40"/>
      <c r="D849" s="40"/>
      <c r="E849" s="40"/>
      <c r="F849" s="40"/>
      <c r="G849" s="40"/>
      <c r="I849" s="40"/>
      <c r="J849" s="40"/>
      <c r="K849" s="156">
        <f>+K850</f>
        <v>920.71000000000015</v>
      </c>
      <c r="L849" s="40">
        <v>1.05</v>
      </c>
      <c r="M849" s="59">
        <f>+K849*L849</f>
        <v>966.74550000000022</v>
      </c>
      <c r="N849" s="97" t="s">
        <v>7</v>
      </c>
      <c r="O849" s="32"/>
      <c r="P849" s="85"/>
      <c r="Q849" s="126"/>
      <c r="R849" s="126"/>
      <c r="S849" s="126"/>
      <c r="T849" s="85"/>
      <c r="U849" s="85"/>
      <c r="V849" s="85"/>
      <c r="W849" s="85"/>
    </row>
    <row r="850" spans="1:23" s="33" customFormat="1" ht="13.8" x14ac:dyDescent="0.25">
      <c r="A850" s="34"/>
      <c r="B850" s="58"/>
      <c r="C850" s="40">
        <v>1</v>
      </c>
      <c r="D850" s="40"/>
      <c r="E850" s="40"/>
      <c r="F850" s="40"/>
      <c r="G850" s="40"/>
      <c r="H850" s="40">
        <f>+K651</f>
        <v>920.71000000000015</v>
      </c>
      <c r="I850" s="40"/>
      <c r="J850" s="40">
        <f>+H850*C850</f>
        <v>920.71000000000015</v>
      </c>
      <c r="K850" s="156">
        <f>+J850</f>
        <v>920.71000000000015</v>
      </c>
      <c r="L850" s="40"/>
      <c r="M850" s="59"/>
      <c r="N850" s="97"/>
      <c r="O850" s="32"/>
      <c r="P850" s="85"/>
      <c r="Q850" s="126"/>
      <c r="R850" s="126"/>
      <c r="S850" s="126"/>
      <c r="T850" s="85"/>
      <c r="U850" s="85"/>
      <c r="V850" s="85"/>
      <c r="W850" s="85"/>
    </row>
    <row r="851" spans="1:23" s="66" customFormat="1" ht="13.8" x14ac:dyDescent="0.25">
      <c r="A851" s="34"/>
      <c r="B851" s="39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59"/>
      <c r="N851" s="98"/>
      <c r="O851" s="65"/>
      <c r="P851" s="87"/>
      <c r="Q851" s="128"/>
      <c r="R851" s="128"/>
      <c r="S851" s="128"/>
      <c r="T851" s="87"/>
      <c r="U851" s="87"/>
      <c r="V851" s="87"/>
      <c r="W851" s="87"/>
    </row>
    <row r="852" spans="1:23" s="33" customFormat="1" ht="13.8" x14ac:dyDescent="0.25">
      <c r="A852" s="69" t="s">
        <v>143</v>
      </c>
      <c r="B852" s="61" t="s">
        <v>342</v>
      </c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59"/>
      <c r="N852" s="97"/>
      <c r="O852" s="32"/>
      <c r="P852" s="85"/>
      <c r="Q852" s="126"/>
      <c r="R852" s="126"/>
      <c r="S852" s="126"/>
      <c r="T852" s="85"/>
      <c r="U852" s="85"/>
      <c r="V852" s="85"/>
      <c r="W852" s="85"/>
    </row>
    <row r="853" spans="1:23" s="33" customFormat="1" ht="13.8" x14ac:dyDescent="0.25">
      <c r="A853" s="34"/>
      <c r="B853" s="58" t="s">
        <v>335</v>
      </c>
      <c r="C853" s="40"/>
      <c r="D853" s="40"/>
      <c r="E853" s="40"/>
      <c r="F853" s="40"/>
      <c r="G853" s="40"/>
      <c r="H853" s="40"/>
      <c r="I853" s="40"/>
      <c r="J853" s="40"/>
      <c r="K853" s="156">
        <f>+SUM(K855:K867)</f>
        <v>52.937500000000007</v>
      </c>
      <c r="L853" s="40">
        <v>1.05</v>
      </c>
      <c r="M853" s="59">
        <f>+K853*L853</f>
        <v>55.584375000000009</v>
      </c>
      <c r="N853" s="97" t="s">
        <v>7</v>
      </c>
      <c r="O853" s="32"/>
      <c r="P853" s="85"/>
      <c r="Q853" s="126"/>
      <c r="R853" s="126"/>
      <c r="S853" s="126"/>
      <c r="T853" s="85"/>
      <c r="U853" s="85"/>
      <c r="V853" s="85"/>
      <c r="W853" s="85"/>
    </row>
    <row r="854" spans="1:23" s="66" customFormat="1" ht="13.8" x14ac:dyDescent="0.25">
      <c r="A854" s="34"/>
      <c r="B854" s="58" t="s">
        <v>106</v>
      </c>
      <c r="C854" s="187"/>
      <c r="D854" s="187"/>
      <c r="E854" s="187"/>
      <c r="F854" s="187"/>
      <c r="G854" s="187"/>
      <c r="H854" s="187"/>
      <c r="I854" s="187"/>
      <c r="J854" s="187"/>
      <c r="K854" s="187"/>
      <c r="L854" s="62"/>
      <c r="M854" s="156"/>
      <c r="N854" s="33"/>
      <c r="O854" s="65"/>
      <c r="P854" s="87"/>
      <c r="Q854" s="128"/>
      <c r="R854" s="128"/>
      <c r="S854" s="128"/>
      <c r="T854" s="87"/>
      <c r="U854" s="87"/>
      <c r="V854" s="87"/>
      <c r="W854" s="87"/>
    </row>
    <row r="855" spans="1:23" s="66" customFormat="1" ht="13.8" x14ac:dyDescent="0.25">
      <c r="A855" s="34"/>
      <c r="B855" s="39" t="s">
        <v>292</v>
      </c>
      <c r="C855" s="40">
        <v>1</v>
      </c>
      <c r="D855" s="40"/>
      <c r="E855" s="40"/>
      <c r="F855" s="40"/>
      <c r="G855" s="40"/>
      <c r="H855" s="40">
        <v>4.3</v>
      </c>
      <c r="I855" s="40"/>
      <c r="J855" s="40"/>
      <c r="K855" s="156">
        <f t="shared" ref="K855" si="263">+H855*C855</f>
        <v>4.3</v>
      </c>
      <c r="L855" s="40"/>
      <c r="M855" s="59"/>
      <c r="N855" s="98"/>
      <c r="O855" s="65"/>
      <c r="P855" s="87"/>
      <c r="Q855" s="128"/>
      <c r="R855" s="128"/>
      <c r="S855" s="128"/>
      <c r="T855" s="87"/>
      <c r="U855" s="87"/>
      <c r="V855" s="87"/>
      <c r="W855" s="87"/>
    </row>
    <row r="856" spans="1:23" s="66" customFormat="1" ht="13.8" x14ac:dyDescent="0.25">
      <c r="A856" s="34"/>
      <c r="B856" s="39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59"/>
      <c r="N856" s="98"/>
      <c r="O856" s="65"/>
      <c r="P856" s="87"/>
      <c r="Q856" s="128"/>
      <c r="R856" s="128"/>
      <c r="S856" s="128"/>
      <c r="T856" s="87"/>
      <c r="U856" s="87"/>
      <c r="V856" s="87"/>
      <c r="W856" s="87"/>
    </row>
    <row r="857" spans="1:23" s="66" customFormat="1" ht="13.8" x14ac:dyDescent="0.25">
      <c r="A857" s="34"/>
      <c r="B857" s="58" t="s">
        <v>107</v>
      </c>
      <c r="C857" s="187"/>
      <c r="D857" s="187"/>
      <c r="E857" s="187"/>
      <c r="F857" s="187"/>
      <c r="G857" s="187"/>
      <c r="H857" s="187"/>
      <c r="I857" s="187"/>
      <c r="J857" s="187"/>
      <c r="K857" s="187"/>
      <c r="L857" s="62"/>
      <c r="M857" s="156"/>
      <c r="N857" s="33"/>
      <c r="O857" s="65"/>
      <c r="P857" s="87"/>
      <c r="Q857" s="128"/>
      <c r="R857" s="128"/>
      <c r="S857" s="128"/>
      <c r="T857" s="87"/>
      <c r="U857" s="87"/>
      <c r="V857" s="87"/>
      <c r="W857" s="87"/>
    </row>
    <row r="858" spans="1:23" s="66" customFormat="1" ht="13.8" x14ac:dyDescent="0.25">
      <c r="A858" s="34"/>
      <c r="B858" s="39" t="s">
        <v>585</v>
      </c>
      <c r="C858" s="40">
        <v>1</v>
      </c>
      <c r="D858" s="40"/>
      <c r="E858" s="40"/>
      <c r="F858" s="40"/>
      <c r="G858" s="40"/>
      <c r="H858" s="40">
        <v>3.5</v>
      </c>
      <c r="I858" s="40"/>
      <c r="J858" s="40"/>
      <c r="K858" s="156">
        <f t="shared" ref="K858:K859" si="264">+H858*C858</f>
        <v>3.5</v>
      </c>
      <c r="L858" s="40"/>
      <c r="M858" s="59"/>
      <c r="N858" s="98"/>
      <c r="O858" s="65"/>
      <c r="P858" s="87"/>
      <c r="Q858" s="128"/>
      <c r="R858" s="128"/>
      <c r="S858" s="128"/>
      <c r="T858" s="87"/>
      <c r="U858" s="87"/>
      <c r="V858" s="87"/>
      <c r="W858" s="87"/>
    </row>
    <row r="859" spans="1:23" s="66" customFormat="1" ht="13.8" x14ac:dyDescent="0.25">
      <c r="A859" s="34"/>
      <c r="B859" s="39" t="s">
        <v>586</v>
      </c>
      <c r="C859" s="40">
        <v>1</v>
      </c>
      <c r="D859" s="40"/>
      <c r="E859" s="40"/>
      <c r="F859" s="40"/>
      <c r="G859" s="40"/>
      <c r="H859" s="40">
        <v>4.9000000000000004</v>
      </c>
      <c r="I859" s="40"/>
      <c r="J859" s="40"/>
      <c r="K859" s="156">
        <f t="shared" si="264"/>
        <v>4.9000000000000004</v>
      </c>
      <c r="L859" s="40"/>
      <c r="M859" s="59"/>
      <c r="N859" s="98"/>
      <c r="O859" s="65"/>
      <c r="P859" s="87"/>
      <c r="Q859" s="128"/>
      <c r="R859" s="128"/>
      <c r="S859" s="128"/>
      <c r="T859" s="87"/>
      <c r="U859" s="87"/>
      <c r="V859" s="87"/>
      <c r="W859" s="87"/>
    </row>
    <row r="860" spans="1:23" s="66" customFormat="1" ht="13.8" x14ac:dyDescent="0.25">
      <c r="A860" s="34"/>
      <c r="B860" s="39" t="s">
        <v>227</v>
      </c>
      <c r="C860" s="40">
        <v>1</v>
      </c>
      <c r="D860" s="40"/>
      <c r="E860" s="40"/>
      <c r="F860" s="40"/>
      <c r="G860" s="40"/>
      <c r="H860" s="40">
        <f>2.85*2.75</f>
        <v>7.8375000000000004</v>
      </c>
      <c r="I860" s="40"/>
      <c r="J860" s="40"/>
      <c r="K860" s="156">
        <f t="shared" ref="K860" si="265">+H860*C860</f>
        <v>7.8375000000000004</v>
      </c>
      <c r="L860" s="40"/>
      <c r="M860" s="59"/>
      <c r="N860" s="98"/>
      <c r="O860" s="65"/>
      <c r="P860" s="87"/>
      <c r="Q860" s="128"/>
      <c r="R860" s="128"/>
      <c r="S860" s="128"/>
      <c r="T860" s="87"/>
      <c r="U860" s="87"/>
      <c r="V860" s="87"/>
      <c r="W860" s="87"/>
    </row>
    <row r="861" spans="1:23" s="66" customFormat="1" ht="13.8" x14ac:dyDescent="0.25">
      <c r="A861" s="34"/>
      <c r="B861" s="39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59"/>
      <c r="N861" s="227"/>
      <c r="O861" s="65"/>
      <c r="P861" s="87"/>
      <c r="Q861" s="128"/>
      <c r="R861" s="128"/>
      <c r="S861" s="128"/>
      <c r="T861" s="87"/>
      <c r="U861" s="87"/>
      <c r="V861" s="87"/>
      <c r="W861" s="87"/>
    </row>
    <row r="862" spans="1:23" s="66" customFormat="1" ht="13.8" x14ac:dyDescent="0.25">
      <c r="A862" s="34"/>
      <c r="B862" s="58" t="s">
        <v>204</v>
      </c>
      <c r="C862" s="187"/>
      <c r="D862" s="187"/>
      <c r="E862" s="187"/>
      <c r="F862" s="187"/>
      <c r="G862" s="187"/>
      <c r="H862" s="187"/>
      <c r="I862" s="187"/>
      <c r="J862" s="187"/>
      <c r="K862" s="187"/>
      <c r="L862" s="62"/>
      <c r="M862" s="156"/>
      <c r="N862" s="33"/>
      <c r="O862" s="65"/>
      <c r="P862" s="87"/>
      <c r="Q862" s="128"/>
      <c r="R862" s="128"/>
      <c r="S862" s="128"/>
      <c r="T862" s="87"/>
      <c r="U862" s="87"/>
      <c r="V862" s="87"/>
      <c r="W862" s="87"/>
    </row>
    <row r="863" spans="1:23" s="66" customFormat="1" ht="13.8" x14ac:dyDescent="0.25">
      <c r="A863" s="34"/>
      <c r="B863" s="39" t="s">
        <v>586</v>
      </c>
      <c r="C863" s="40">
        <v>1</v>
      </c>
      <c r="D863" s="40"/>
      <c r="E863" s="40"/>
      <c r="F863" s="40"/>
      <c r="G863" s="40"/>
      <c r="H863" s="40">
        <f>8.5+9.3</f>
        <v>17.8</v>
      </c>
      <c r="I863" s="40"/>
      <c r="J863" s="40"/>
      <c r="K863" s="156">
        <f t="shared" ref="K863:K865" si="266">+H863*C863</f>
        <v>17.8</v>
      </c>
      <c r="L863" s="40"/>
      <c r="M863" s="59"/>
      <c r="N863" s="98"/>
      <c r="O863" s="65"/>
      <c r="P863" s="87"/>
      <c r="Q863" s="128"/>
      <c r="R863" s="128"/>
      <c r="S863" s="128"/>
      <c r="T863" s="87"/>
      <c r="U863" s="87"/>
      <c r="V863" s="87"/>
      <c r="W863" s="87"/>
    </row>
    <row r="864" spans="1:23" s="66" customFormat="1" ht="13.8" x14ac:dyDescent="0.25">
      <c r="A864" s="34"/>
      <c r="B864" s="39" t="s">
        <v>591</v>
      </c>
      <c r="C864" s="40">
        <v>1</v>
      </c>
      <c r="D864" s="40"/>
      <c r="E864" s="40"/>
      <c r="F864" s="40"/>
      <c r="G864" s="40"/>
      <c r="H864" s="40">
        <v>5.6</v>
      </c>
      <c r="I864" s="40"/>
      <c r="J864" s="40"/>
      <c r="K864" s="156">
        <f t="shared" si="266"/>
        <v>5.6</v>
      </c>
      <c r="L864" s="40"/>
      <c r="M864" s="59"/>
      <c r="N864" s="98"/>
      <c r="O864" s="65"/>
      <c r="P864" s="87"/>
      <c r="Q864" s="128"/>
      <c r="R864" s="128"/>
      <c r="S864" s="128"/>
      <c r="T864" s="87"/>
      <c r="U864" s="87"/>
      <c r="V864" s="87"/>
      <c r="W864" s="87"/>
    </row>
    <row r="865" spans="1:23" s="66" customFormat="1" ht="13.8" x14ac:dyDescent="0.25">
      <c r="A865" s="34"/>
      <c r="B865" s="39" t="s">
        <v>227</v>
      </c>
      <c r="C865" s="40">
        <v>1</v>
      </c>
      <c r="D865" s="40"/>
      <c r="E865" s="40"/>
      <c r="F865" s="40"/>
      <c r="G865" s="40"/>
      <c r="H865" s="40">
        <v>4.9000000000000004</v>
      </c>
      <c r="I865" s="40"/>
      <c r="J865" s="40"/>
      <c r="K865" s="156">
        <f t="shared" si="266"/>
        <v>4.9000000000000004</v>
      </c>
      <c r="L865" s="40"/>
      <c r="M865" s="59"/>
      <c r="N865" s="98"/>
      <c r="O865" s="65"/>
      <c r="P865" s="87"/>
      <c r="Q865" s="128"/>
      <c r="R865" s="128"/>
      <c r="S865" s="128"/>
      <c r="T865" s="87"/>
      <c r="U865" s="87"/>
      <c r="V865" s="87"/>
      <c r="W865" s="87"/>
    </row>
    <row r="866" spans="1:23" s="66" customFormat="1" ht="13.8" x14ac:dyDescent="0.25">
      <c r="A866" s="34"/>
      <c r="B866" s="58" t="s">
        <v>205</v>
      </c>
      <c r="C866" s="40"/>
      <c r="D866" s="40"/>
      <c r="E866" s="40"/>
      <c r="F866" s="40"/>
      <c r="G866" s="40"/>
      <c r="H866" s="40"/>
      <c r="I866" s="40"/>
      <c r="J866" s="40"/>
      <c r="K866" s="156"/>
      <c r="L866" s="40"/>
      <c r="M866" s="59"/>
      <c r="N866" s="98"/>
      <c r="O866" s="65"/>
      <c r="P866" s="87"/>
      <c r="Q866" s="128"/>
      <c r="R866" s="128"/>
      <c r="S866" s="128"/>
      <c r="T866" s="87"/>
      <c r="U866" s="87"/>
      <c r="V866" s="87"/>
      <c r="W866" s="87"/>
    </row>
    <row r="867" spans="1:23" s="66" customFormat="1" ht="13.8" x14ac:dyDescent="0.25">
      <c r="A867" s="34"/>
      <c r="B867" s="39" t="s">
        <v>648</v>
      </c>
      <c r="C867" s="40">
        <v>1</v>
      </c>
      <c r="D867" s="40"/>
      <c r="E867" s="40"/>
      <c r="F867" s="40"/>
      <c r="G867" s="40"/>
      <c r="H867" s="40">
        <v>4.0999999999999996</v>
      </c>
      <c r="I867" s="40"/>
      <c r="J867" s="40"/>
      <c r="K867" s="156">
        <f t="shared" ref="K867" si="267">+H867*C867</f>
        <v>4.0999999999999996</v>
      </c>
      <c r="L867" s="40"/>
      <c r="M867" s="59"/>
      <c r="N867" s="98"/>
      <c r="O867" s="65"/>
      <c r="P867" s="87"/>
      <c r="Q867" s="128"/>
      <c r="R867" s="128"/>
      <c r="S867" s="128"/>
      <c r="T867" s="87"/>
      <c r="U867" s="87"/>
      <c r="V867" s="87"/>
      <c r="W867" s="87"/>
    </row>
    <row r="868" spans="1:23" s="66" customFormat="1" ht="13.8" x14ac:dyDescent="0.25">
      <c r="A868" s="34"/>
      <c r="B868" s="39"/>
      <c r="C868" s="40"/>
      <c r="D868" s="40"/>
      <c r="E868" s="40"/>
      <c r="F868" s="40"/>
      <c r="G868" s="40"/>
      <c r="H868" s="40"/>
      <c r="I868" s="40"/>
      <c r="J868" s="40"/>
      <c r="K868" s="156"/>
      <c r="L868" s="40"/>
      <c r="M868" s="59"/>
      <c r="N868" s="98"/>
      <c r="O868" s="65"/>
      <c r="P868" s="87"/>
      <c r="Q868" s="128"/>
      <c r="R868" s="128"/>
      <c r="S868" s="128"/>
      <c r="T868" s="87"/>
      <c r="U868" s="87"/>
      <c r="V868" s="87"/>
      <c r="W868" s="87"/>
    </row>
    <row r="869" spans="1:23" s="66" customFormat="1" ht="13.8" x14ac:dyDescent="0.25">
      <c r="A869" s="34"/>
      <c r="B869" s="39"/>
      <c r="C869" s="40"/>
      <c r="D869" s="40"/>
      <c r="E869" s="40"/>
      <c r="F869" s="40"/>
      <c r="G869" s="40"/>
      <c r="H869" s="40"/>
      <c r="I869" s="40"/>
      <c r="J869" s="40"/>
      <c r="K869" s="156"/>
      <c r="L869" s="40"/>
      <c r="M869" s="59"/>
      <c r="N869" s="98"/>
      <c r="O869" s="65"/>
      <c r="P869" s="87"/>
      <c r="Q869" s="128"/>
      <c r="R869" s="128"/>
      <c r="S869" s="128"/>
      <c r="T869" s="87"/>
      <c r="U869" s="87"/>
      <c r="V869" s="87"/>
      <c r="W869" s="87"/>
    </row>
    <row r="870" spans="1:23" s="33" customFormat="1" ht="13.8" x14ac:dyDescent="0.25">
      <c r="A870" s="28" t="s">
        <v>26</v>
      </c>
      <c r="B870" s="29" t="s">
        <v>282</v>
      </c>
      <c r="C870" s="40"/>
      <c r="D870" s="40"/>
      <c r="E870" s="40"/>
      <c r="F870" s="40"/>
      <c r="G870" s="40"/>
      <c r="H870" s="40"/>
      <c r="I870" s="40"/>
      <c r="J870" s="40"/>
      <c r="K870" s="62"/>
      <c r="L870" s="62"/>
      <c r="M870" s="91"/>
      <c r="N870" s="99"/>
      <c r="O870" s="32"/>
      <c r="P870" s="85"/>
      <c r="Q870" s="126"/>
      <c r="R870" s="126"/>
      <c r="S870" s="126"/>
      <c r="T870" s="85"/>
      <c r="U870" s="85"/>
      <c r="V870" s="85"/>
      <c r="W870" s="85"/>
    </row>
    <row r="871" spans="1:23" s="33" customFormat="1" ht="13.8" x14ac:dyDescent="0.25">
      <c r="A871" s="42"/>
      <c r="B871" s="188" t="s">
        <v>364</v>
      </c>
      <c r="C871" s="40"/>
      <c r="D871" s="40"/>
      <c r="E871" s="40"/>
      <c r="F871" s="40"/>
      <c r="G871" s="40"/>
      <c r="H871" s="40"/>
      <c r="I871" s="40"/>
      <c r="J871" s="40"/>
      <c r="K871" s="156" t="e">
        <f>+H872+#REF!+#REF!+#REF!</f>
        <v>#REF!</v>
      </c>
      <c r="L871" s="40">
        <v>1</v>
      </c>
      <c r="M871" s="59" t="e">
        <f>+K871*L871</f>
        <v>#REF!</v>
      </c>
      <c r="N871" s="97" t="s">
        <v>7</v>
      </c>
      <c r="O871" s="32"/>
      <c r="P871" s="85"/>
      <c r="Q871" s="126"/>
      <c r="R871" s="126"/>
      <c r="S871" s="126"/>
      <c r="T871" s="85"/>
      <c r="U871" s="85"/>
      <c r="V871" s="85"/>
      <c r="W871" s="85"/>
    </row>
    <row r="872" spans="1:23" s="66" customFormat="1" ht="13.8" x14ac:dyDescent="0.25">
      <c r="A872" s="34"/>
      <c r="B872" s="68" t="s">
        <v>106</v>
      </c>
      <c r="C872" s="40"/>
      <c r="D872" s="40"/>
      <c r="E872" s="40"/>
      <c r="F872" s="40"/>
      <c r="G872" s="40"/>
      <c r="H872" s="189">
        <f>+SUM(H873:H873)</f>
        <v>36.299999999999997</v>
      </c>
      <c r="I872" s="40"/>
      <c r="J872" s="40"/>
      <c r="K872" s="40"/>
      <c r="L872" s="40"/>
      <c r="M872" s="131"/>
      <c r="N872" s="98"/>
      <c r="O872" s="65"/>
      <c r="P872" s="87"/>
      <c r="Q872" s="128"/>
      <c r="R872" s="128"/>
      <c r="S872" s="128"/>
      <c r="T872" s="87"/>
      <c r="U872" s="87"/>
      <c r="V872" s="87"/>
      <c r="W872" s="87"/>
    </row>
    <row r="873" spans="1:23" s="66" customFormat="1" ht="13.8" x14ac:dyDescent="0.25">
      <c r="A873" s="34"/>
      <c r="B873" s="39" t="s">
        <v>198</v>
      </c>
      <c r="C873" s="40">
        <v>1</v>
      </c>
      <c r="D873" s="40"/>
      <c r="E873" s="40"/>
      <c r="F873" s="40"/>
      <c r="G873" s="40"/>
      <c r="H873" s="40">
        <v>36.299999999999997</v>
      </c>
      <c r="I873" s="106"/>
      <c r="J873" s="106"/>
      <c r="K873" s="106"/>
      <c r="L873" s="106"/>
      <c r="M873" s="167"/>
      <c r="N873" s="168"/>
      <c r="O873" s="169"/>
      <c r="P873" s="170"/>
      <c r="Q873" s="171"/>
      <c r="R873" s="171"/>
      <c r="S873" s="171"/>
      <c r="T873" s="170"/>
      <c r="U873" s="170"/>
      <c r="V873" s="170"/>
      <c r="W873" s="170"/>
    </row>
    <row r="874" spans="1:23" s="33" customFormat="1" ht="13.8" x14ac:dyDescent="0.25">
      <c r="A874" s="42"/>
      <c r="B874" s="35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59"/>
      <c r="N874" s="97"/>
      <c r="O874" s="32"/>
      <c r="P874" s="85"/>
      <c r="Q874" s="126"/>
      <c r="R874" s="126"/>
      <c r="S874" s="126"/>
      <c r="T874" s="85"/>
      <c r="U874" s="85"/>
      <c r="V874" s="85"/>
      <c r="W874" s="85"/>
    </row>
    <row r="875" spans="1:23" s="33" customFormat="1" ht="31.5" customHeight="1" x14ac:dyDescent="0.25">
      <c r="A875" s="42"/>
      <c r="B875" s="188" t="s">
        <v>366</v>
      </c>
      <c r="C875" s="40"/>
      <c r="D875" s="40"/>
      <c r="E875" s="40"/>
      <c r="F875" s="40"/>
      <c r="G875" s="40"/>
      <c r="H875" s="40"/>
      <c r="I875" s="40"/>
      <c r="J875" s="40"/>
      <c r="K875" s="156">
        <f>+H876+H879+H882+H885</f>
        <v>167</v>
      </c>
      <c r="L875" s="40">
        <v>1</v>
      </c>
      <c r="M875" s="59">
        <f>+K875*L875</f>
        <v>167</v>
      </c>
      <c r="N875" s="97" t="s">
        <v>7</v>
      </c>
      <c r="O875" s="32"/>
      <c r="P875" s="85"/>
      <c r="Q875" s="126"/>
      <c r="R875" s="126"/>
      <c r="S875" s="126"/>
      <c r="T875" s="85"/>
      <c r="U875" s="85"/>
      <c r="V875" s="85"/>
      <c r="W875" s="85"/>
    </row>
    <row r="876" spans="1:23" s="66" customFormat="1" ht="13.8" x14ac:dyDescent="0.25">
      <c r="A876" s="34"/>
      <c r="B876" s="68" t="s">
        <v>106</v>
      </c>
      <c r="C876" s="40"/>
      <c r="D876" s="40"/>
      <c r="E876" s="40"/>
      <c r="F876" s="40"/>
      <c r="G876" s="40"/>
      <c r="H876" s="189">
        <f>+SUM(H877:H877)</f>
        <v>95.8</v>
      </c>
      <c r="I876" s="40"/>
      <c r="J876" s="40"/>
      <c r="K876" s="40"/>
      <c r="L876" s="40"/>
      <c r="M876" s="131"/>
      <c r="N876" s="98"/>
      <c r="O876" s="65"/>
      <c r="P876" s="87"/>
      <c r="Q876" s="128"/>
      <c r="R876" s="128"/>
      <c r="S876" s="128"/>
      <c r="T876" s="87"/>
      <c r="U876" s="87"/>
      <c r="V876" s="87"/>
      <c r="W876" s="87"/>
    </row>
    <row r="877" spans="1:23" s="66" customFormat="1" ht="13.8" x14ac:dyDescent="0.25">
      <c r="A877" s="34"/>
      <c r="B877" s="39" t="s">
        <v>367</v>
      </c>
      <c r="C877" s="40">
        <v>1</v>
      </c>
      <c r="D877" s="40"/>
      <c r="E877" s="40"/>
      <c r="F877" s="40"/>
      <c r="G877" s="40"/>
      <c r="H877" s="40">
        <v>95.8</v>
      </c>
      <c r="I877" s="106"/>
      <c r="J877" s="106"/>
      <c r="K877" s="106"/>
      <c r="L877" s="106"/>
      <c r="M877" s="167"/>
      <c r="N877" s="168"/>
      <c r="O877" s="169"/>
      <c r="P877" s="170"/>
      <c r="Q877" s="171"/>
      <c r="R877" s="171"/>
      <c r="S877" s="171"/>
      <c r="T877" s="170"/>
      <c r="U877" s="170"/>
      <c r="V877" s="170"/>
      <c r="W877" s="170"/>
    </row>
    <row r="878" spans="1:23" s="66" customFormat="1" ht="13.8" x14ac:dyDescent="0.25">
      <c r="A878" s="34"/>
      <c r="B878" s="68"/>
      <c r="C878" s="106"/>
      <c r="D878" s="106"/>
      <c r="E878" s="106"/>
      <c r="F878" s="106"/>
      <c r="G878" s="106"/>
      <c r="H878" s="157"/>
      <c r="I878" s="106"/>
      <c r="J878" s="106"/>
      <c r="K878" s="106"/>
      <c r="L878" s="106"/>
      <c r="M878" s="167"/>
      <c r="N878" s="168"/>
      <c r="O878" s="169"/>
      <c r="P878" s="170"/>
      <c r="Q878" s="171"/>
      <c r="R878" s="171"/>
      <c r="S878" s="171"/>
      <c r="T878" s="170"/>
      <c r="U878" s="170"/>
      <c r="V878" s="170"/>
      <c r="W878" s="170"/>
    </row>
    <row r="879" spans="1:23" s="66" customFormat="1" ht="13.8" x14ac:dyDescent="0.25">
      <c r="A879" s="34"/>
      <c r="B879" s="68" t="s">
        <v>107</v>
      </c>
      <c r="C879" s="40"/>
      <c r="D879" s="106"/>
      <c r="E879" s="106"/>
      <c r="F879" s="106"/>
      <c r="G879" s="106"/>
      <c r="H879" s="189">
        <f>+SUM(H880:H880)</f>
        <v>6.4</v>
      </c>
      <c r="I879" s="106"/>
      <c r="J879" s="106"/>
      <c r="K879" s="106"/>
      <c r="L879" s="106"/>
      <c r="M879" s="167"/>
      <c r="N879" s="168"/>
      <c r="O879" s="169"/>
      <c r="P879" s="170"/>
      <c r="Q879" s="171"/>
      <c r="R879" s="171"/>
      <c r="S879" s="171"/>
      <c r="T879" s="170"/>
      <c r="U879" s="170"/>
      <c r="V879" s="170"/>
      <c r="W879" s="170"/>
    </row>
    <row r="880" spans="1:23" s="66" customFormat="1" ht="13.8" x14ac:dyDescent="0.25">
      <c r="A880" s="34"/>
      <c r="B880" s="64" t="s">
        <v>210</v>
      </c>
      <c r="C880" s="40">
        <v>1</v>
      </c>
      <c r="D880" s="40"/>
      <c r="E880" s="40"/>
      <c r="F880" s="40"/>
      <c r="G880" s="40"/>
      <c r="H880" s="157">
        <v>6.4</v>
      </c>
      <c r="I880" s="40"/>
      <c r="J880" s="40"/>
      <c r="K880" s="40"/>
      <c r="L880" s="40"/>
      <c r="M880" s="131"/>
      <c r="N880" s="98"/>
      <c r="O880" s="65"/>
      <c r="P880" s="87"/>
      <c r="Q880" s="128"/>
      <c r="R880" s="128"/>
      <c r="S880" s="128"/>
      <c r="T880" s="87"/>
      <c r="U880" s="87"/>
      <c r="V880" s="87"/>
      <c r="W880" s="87"/>
    </row>
    <row r="881" spans="1:23" s="66" customFormat="1" ht="13.8" x14ac:dyDescent="0.25">
      <c r="A881" s="34"/>
      <c r="B881" s="64"/>
      <c r="C881" s="40"/>
      <c r="D881" s="40"/>
      <c r="E881" s="40"/>
      <c r="F881" s="40"/>
      <c r="G881" s="40"/>
      <c r="H881" s="157"/>
      <c r="I881" s="40"/>
      <c r="J881" s="40"/>
      <c r="K881" s="40"/>
      <c r="L881" s="40"/>
      <c r="M881" s="131"/>
      <c r="N881" s="98"/>
      <c r="O881" s="65"/>
      <c r="P881" s="87"/>
      <c r="Q881" s="128"/>
      <c r="R881" s="128"/>
      <c r="S881" s="128"/>
      <c r="T881" s="87"/>
      <c r="U881" s="87"/>
      <c r="V881" s="87"/>
      <c r="W881" s="87"/>
    </row>
    <row r="882" spans="1:23" s="66" customFormat="1" ht="13.8" x14ac:dyDescent="0.25">
      <c r="A882" s="34"/>
      <c r="B882" s="68" t="s">
        <v>204</v>
      </c>
      <c r="C882" s="40"/>
      <c r="D882" s="40"/>
      <c r="E882" s="40"/>
      <c r="F882" s="40"/>
      <c r="G882" s="40"/>
      <c r="H882" s="189">
        <f>+SUM(H883:H883)</f>
        <v>58.2</v>
      </c>
      <c r="I882" s="40"/>
      <c r="J882" s="40"/>
      <c r="K882" s="40"/>
      <c r="L882" s="40"/>
      <c r="M882" s="131"/>
      <c r="N882" s="98"/>
      <c r="O882" s="65"/>
      <c r="P882" s="87"/>
      <c r="Q882" s="128"/>
      <c r="R882" s="128"/>
      <c r="S882" s="128"/>
      <c r="T882" s="87"/>
      <c r="U882" s="87"/>
      <c r="V882" s="87"/>
      <c r="W882" s="87"/>
    </row>
    <row r="883" spans="1:23" s="66" customFormat="1" ht="13.8" x14ac:dyDescent="0.25">
      <c r="A883" s="34"/>
      <c r="B883" s="64" t="s">
        <v>368</v>
      </c>
      <c r="C883" s="40">
        <v>1</v>
      </c>
      <c r="D883" s="40"/>
      <c r="E883" s="40"/>
      <c r="F883" s="40"/>
      <c r="G883" s="40"/>
      <c r="H883" s="157">
        <v>58.2</v>
      </c>
      <c r="I883" s="40"/>
      <c r="J883" s="40"/>
      <c r="K883" s="40"/>
      <c r="L883" s="40"/>
      <c r="M883" s="131"/>
      <c r="N883" s="98"/>
      <c r="O883" s="65"/>
      <c r="P883" s="87"/>
      <c r="Q883" s="128"/>
      <c r="R883" s="128"/>
      <c r="S883" s="128"/>
      <c r="T883" s="87"/>
      <c r="U883" s="87"/>
      <c r="V883" s="87"/>
      <c r="W883" s="87"/>
    </row>
    <row r="884" spans="1:23" s="66" customFormat="1" ht="13.8" x14ac:dyDescent="0.25">
      <c r="A884" s="34"/>
      <c r="B884" s="64"/>
      <c r="C884" s="40"/>
      <c r="D884" s="40"/>
      <c r="E884" s="40"/>
      <c r="F884" s="40"/>
      <c r="G884" s="40"/>
      <c r="H884" s="157"/>
      <c r="I884" s="40"/>
      <c r="J884" s="40"/>
      <c r="K884" s="40"/>
      <c r="L884" s="40"/>
      <c r="M884" s="131"/>
      <c r="N884" s="98"/>
      <c r="O884" s="65"/>
      <c r="P884" s="87"/>
      <c r="Q884" s="128"/>
      <c r="R884" s="128"/>
      <c r="S884" s="128"/>
      <c r="T884" s="87"/>
      <c r="U884" s="87"/>
      <c r="V884" s="87"/>
      <c r="W884" s="87"/>
    </row>
    <row r="885" spans="1:23" s="66" customFormat="1" ht="13.8" x14ac:dyDescent="0.25">
      <c r="A885" s="34"/>
      <c r="B885" s="68" t="s">
        <v>205</v>
      </c>
      <c r="C885" s="40"/>
      <c r="D885" s="40"/>
      <c r="E885" s="40"/>
      <c r="F885" s="40"/>
      <c r="G885" s="40"/>
      <c r="H885" s="189">
        <f>+SUM(H886:H886)</f>
        <v>6.6</v>
      </c>
      <c r="I885" s="40"/>
      <c r="J885" s="40"/>
      <c r="K885" s="40"/>
      <c r="L885" s="40"/>
      <c r="M885" s="131"/>
      <c r="N885" s="98"/>
      <c r="O885" s="65"/>
      <c r="P885" s="87"/>
      <c r="Q885" s="128"/>
      <c r="R885" s="128"/>
      <c r="S885" s="128"/>
      <c r="T885" s="87"/>
      <c r="U885" s="87"/>
      <c r="V885" s="87"/>
      <c r="W885" s="87"/>
    </row>
    <row r="886" spans="1:23" s="66" customFormat="1" ht="13.8" x14ac:dyDescent="0.25">
      <c r="A886" s="34"/>
      <c r="B886" s="64" t="s">
        <v>347</v>
      </c>
      <c r="C886" s="40">
        <v>1</v>
      </c>
      <c r="D886" s="40"/>
      <c r="E886" s="40"/>
      <c r="F886" s="40"/>
      <c r="G886" s="40"/>
      <c r="H886" s="157">
        <v>6.6</v>
      </c>
      <c r="I886" s="40"/>
      <c r="J886" s="40"/>
      <c r="K886" s="40"/>
      <c r="L886" s="40"/>
      <c r="M886" s="131"/>
      <c r="N886" s="98"/>
      <c r="O886" s="65"/>
      <c r="P886" s="87"/>
      <c r="Q886" s="128"/>
      <c r="R886" s="128"/>
      <c r="S886" s="128"/>
      <c r="T886" s="87"/>
      <c r="U886" s="87"/>
      <c r="V886" s="87"/>
      <c r="W886" s="87"/>
    </row>
    <row r="887" spans="1:23" s="33" customFormat="1" ht="13.8" x14ac:dyDescent="0.25">
      <c r="A887" s="42"/>
      <c r="B887" s="35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59"/>
      <c r="N887" s="97"/>
      <c r="O887" s="32"/>
      <c r="P887" s="85"/>
      <c r="Q887" s="126"/>
      <c r="R887" s="126"/>
      <c r="S887" s="126"/>
      <c r="T887" s="85"/>
      <c r="U887" s="85"/>
      <c r="V887" s="85"/>
      <c r="W887" s="85"/>
    </row>
    <row r="888" spans="1:23" s="33" customFormat="1" ht="13.8" x14ac:dyDescent="0.25">
      <c r="A888" s="42"/>
      <c r="B888" s="188" t="s">
        <v>372</v>
      </c>
      <c r="C888" s="40"/>
      <c r="D888" s="40"/>
      <c r="E888" s="40"/>
      <c r="F888" s="40"/>
      <c r="G888" s="40"/>
      <c r="H888" s="40"/>
      <c r="I888" s="40"/>
      <c r="J888" s="40"/>
      <c r="K888" s="156">
        <f>+J889+J892+J895+J897</f>
        <v>41.74</v>
      </c>
      <c r="L888" s="40">
        <v>1</v>
      </c>
      <c r="M888" s="59">
        <f>+K888*L888</f>
        <v>41.74</v>
      </c>
      <c r="N888" s="97" t="s">
        <v>7</v>
      </c>
      <c r="O888" s="32"/>
      <c r="P888" s="85"/>
      <c r="Q888" s="126"/>
      <c r="R888" s="126"/>
      <c r="S888" s="126"/>
      <c r="T888" s="85"/>
      <c r="U888" s="85"/>
      <c r="V888" s="85"/>
      <c r="W888" s="85"/>
    </row>
    <row r="889" spans="1:23" s="66" customFormat="1" ht="13.8" x14ac:dyDescent="0.25">
      <c r="A889" s="34"/>
      <c r="B889" s="68" t="s">
        <v>106</v>
      </c>
      <c r="C889" s="40"/>
      <c r="D889" s="40"/>
      <c r="E889" s="40"/>
      <c r="F889" s="40"/>
      <c r="G889" s="40"/>
      <c r="H889" s="187"/>
      <c r="I889" s="40"/>
      <c r="J889" s="189">
        <f>+SUM(J890:J890)</f>
        <v>8.4</v>
      </c>
      <c r="K889" s="40"/>
      <c r="L889" s="40"/>
      <c r="M889" s="131"/>
      <c r="N889" s="98"/>
      <c r="O889" s="65"/>
      <c r="P889" s="87"/>
      <c r="Q889" s="128"/>
      <c r="R889" s="128"/>
      <c r="S889" s="128"/>
      <c r="T889" s="87"/>
      <c r="U889" s="87"/>
      <c r="V889" s="87"/>
      <c r="W889" s="87"/>
    </row>
    <row r="890" spans="1:23" s="66" customFormat="1" ht="13.8" x14ac:dyDescent="0.25">
      <c r="A890" s="34"/>
      <c r="B890" s="39" t="s">
        <v>367</v>
      </c>
      <c r="C890" s="40">
        <v>1</v>
      </c>
      <c r="D890" s="40"/>
      <c r="E890" s="40"/>
      <c r="F890" s="40"/>
      <c r="G890" s="40">
        <f>5.4+0.7+2.3</f>
        <v>8.4</v>
      </c>
      <c r="H890" s="187"/>
      <c r="I890" s="106"/>
      <c r="J890" s="40">
        <f>+G890*C890</f>
        <v>8.4</v>
      </c>
      <c r="K890" s="106"/>
      <c r="L890" s="106"/>
      <c r="M890" s="167"/>
      <c r="N890" s="168"/>
      <c r="O890" s="169"/>
      <c r="P890" s="170"/>
      <c r="Q890" s="171"/>
      <c r="R890" s="171"/>
      <c r="S890" s="171"/>
      <c r="T890" s="170"/>
      <c r="U890" s="170"/>
      <c r="V890" s="170"/>
      <c r="W890" s="170"/>
    </row>
    <row r="891" spans="1:23" s="66" customFormat="1" ht="13.8" x14ac:dyDescent="0.25">
      <c r="A891" s="34"/>
      <c r="B891" s="68"/>
      <c r="C891" s="106"/>
      <c r="D891" s="106"/>
      <c r="E891" s="106"/>
      <c r="F891" s="106"/>
      <c r="G891" s="106"/>
      <c r="H891" s="187"/>
      <c r="I891" s="106"/>
      <c r="J891" s="157"/>
      <c r="K891" s="106"/>
      <c r="L891" s="106"/>
      <c r="M891" s="167"/>
      <c r="N891" s="168"/>
      <c r="O891" s="169"/>
      <c r="P891" s="170"/>
      <c r="Q891" s="171"/>
      <c r="R891" s="171"/>
      <c r="S891" s="171"/>
      <c r="T891" s="170"/>
      <c r="U891" s="170"/>
      <c r="V891" s="170"/>
      <c r="W891" s="170"/>
    </row>
    <row r="892" spans="1:23" s="66" customFormat="1" ht="13.8" x14ac:dyDescent="0.25">
      <c r="A892" s="34"/>
      <c r="B892" s="68" t="s">
        <v>107</v>
      </c>
      <c r="C892" s="40"/>
      <c r="D892" s="106"/>
      <c r="E892" s="106"/>
      <c r="F892" s="106"/>
      <c r="G892" s="106"/>
      <c r="H892" s="187"/>
      <c r="I892" s="106"/>
      <c r="J892" s="189">
        <f>+SUM(J893:J893)</f>
        <v>5.8000000000000007</v>
      </c>
      <c r="K892" s="106"/>
      <c r="L892" s="106"/>
      <c r="M892" s="167"/>
      <c r="N892" s="168"/>
      <c r="O892" s="169"/>
      <c r="P892" s="170"/>
      <c r="Q892" s="171"/>
      <c r="R892" s="171"/>
      <c r="S892" s="171"/>
      <c r="T892" s="170"/>
      <c r="U892" s="170"/>
      <c r="V892" s="170"/>
      <c r="W892" s="170"/>
    </row>
    <row r="893" spans="1:23" s="66" customFormat="1" ht="13.8" x14ac:dyDescent="0.25">
      <c r="A893" s="34"/>
      <c r="B893" s="64" t="s">
        <v>210</v>
      </c>
      <c r="C893" s="40">
        <v>1</v>
      </c>
      <c r="D893" s="40"/>
      <c r="E893" s="40"/>
      <c r="F893" s="40"/>
      <c r="G893" s="40">
        <f>7.4-1.6</f>
        <v>5.8000000000000007</v>
      </c>
      <c r="H893" s="187"/>
      <c r="I893" s="40"/>
      <c r="J893" s="157">
        <f>+G893*C893</f>
        <v>5.8000000000000007</v>
      </c>
      <c r="K893" s="40"/>
      <c r="L893" s="40"/>
      <c r="M893" s="131"/>
      <c r="N893" s="98"/>
      <c r="O893" s="65"/>
      <c r="P893" s="87"/>
      <c r="Q893" s="128"/>
      <c r="R893" s="128"/>
      <c r="S893" s="128"/>
      <c r="T893" s="87"/>
      <c r="U893" s="87"/>
      <c r="V893" s="87"/>
      <c r="W893" s="87"/>
    </row>
    <row r="894" spans="1:23" s="66" customFormat="1" ht="13.8" x14ac:dyDescent="0.25">
      <c r="A894" s="34"/>
      <c r="B894" s="64"/>
      <c r="C894" s="40"/>
      <c r="D894" s="40"/>
      <c r="E894" s="40"/>
      <c r="F894" s="40"/>
      <c r="G894" s="40"/>
      <c r="H894" s="187"/>
      <c r="I894" s="40"/>
      <c r="J894" s="157"/>
      <c r="K894" s="40"/>
      <c r="L894" s="40"/>
      <c r="M894" s="131"/>
      <c r="N894" s="98"/>
      <c r="O894" s="65"/>
      <c r="P894" s="87"/>
      <c r="Q894" s="128"/>
      <c r="R894" s="128"/>
      <c r="S894" s="128"/>
      <c r="T894" s="87"/>
      <c r="U894" s="87"/>
      <c r="V894" s="87"/>
      <c r="W894" s="87"/>
    </row>
    <row r="895" spans="1:23" s="66" customFormat="1" ht="13.8" x14ac:dyDescent="0.25">
      <c r="A895" s="34"/>
      <c r="B895" s="68" t="s">
        <v>204</v>
      </c>
      <c r="C895" s="40"/>
      <c r="D895" s="40"/>
      <c r="E895" s="40"/>
      <c r="F895" s="40"/>
      <c r="G895" s="40"/>
      <c r="H895" s="187"/>
      <c r="I895" s="40"/>
      <c r="J895" s="189">
        <f>+SUM(J896:J896)</f>
        <v>20.6</v>
      </c>
      <c r="K895" s="40"/>
      <c r="L895" s="40"/>
      <c r="M895" s="131"/>
      <c r="N895" s="98"/>
      <c r="O895" s="65"/>
      <c r="P895" s="87"/>
      <c r="Q895" s="128"/>
      <c r="R895" s="128"/>
      <c r="S895" s="128"/>
      <c r="T895" s="87"/>
      <c r="U895" s="87"/>
      <c r="V895" s="87"/>
      <c r="W895" s="87"/>
    </row>
    <row r="896" spans="1:23" s="66" customFormat="1" ht="13.8" x14ac:dyDescent="0.25">
      <c r="A896" s="34"/>
      <c r="B896" s="64" t="s">
        <v>369</v>
      </c>
      <c r="C896" s="40">
        <v>1</v>
      </c>
      <c r="D896" s="40"/>
      <c r="E896" s="40"/>
      <c r="F896" s="40"/>
      <c r="G896" s="40">
        <f>21.5-(0.9)</f>
        <v>20.6</v>
      </c>
      <c r="H896" s="187"/>
      <c r="I896" s="40"/>
      <c r="J896" s="157">
        <f>+G896*C896</f>
        <v>20.6</v>
      </c>
      <c r="K896" s="40"/>
      <c r="L896" s="40"/>
      <c r="M896" s="131"/>
      <c r="N896" s="98"/>
      <c r="O896" s="65"/>
      <c r="P896" s="87"/>
      <c r="Q896" s="128"/>
      <c r="R896" s="128"/>
      <c r="S896" s="128"/>
      <c r="T896" s="87"/>
      <c r="U896" s="87"/>
      <c r="V896" s="87"/>
      <c r="W896" s="87"/>
    </row>
    <row r="897" spans="1:23" s="66" customFormat="1" ht="13.8" x14ac:dyDescent="0.25">
      <c r="A897" s="34"/>
      <c r="B897" s="68" t="s">
        <v>205</v>
      </c>
      <c r="C897" s="40"/>
      <c r="D897" s="40"/>
      <c r="E897" s="40"/>
      <c r="F897" s="40"/>
      <c r="G897" s="40"/>
      <c r="H897" s="187"/>
      <c r="I897" s="40"/>
      <c r="J897" s="189">
        <f>+SUM(J898:J898)</f>
        <v>6.9399999999999995</v>
      </c>
      <c r="K897" s="40"/>
      <c r="L897" s="40"/>
      <c r="M897" s="131"/>
      <c r="N897" s="98"/>
      <c r="O897" s="65"/>
      <c r="P897" s="87"/>
      <c r="Q897" s="128"/>
      <c r="R897" s="128"/>
      <c r="S897" s="128"/>
      <c r="T897" s="87"/>
      <c r="U897" s="87"/>
      <c r="V897" s="87"/>
      <c r="W897" s="87"/>
    </row>
    <row r="898" spans="1:23" s="66" customFormat="1" ht="13.8" x14ac:dyDescent="0.25">
      <c r="A898" s="34"/>
      <c r="B898" s="64" t="s">
        <v>347</v>
      </c>
      <c r="C898" s="40">
        <v>1</v>
      </c>
      <c r="D898" s="40"/>
      <c r="E898" s="40"/>
      <c r="F898" s="40"/>
      <c r="G898" s="40">
        <f>10.34-(1.4+2)</f>
        <v>6.9399999999999995</v>
      </c>
      <c r="H898" s="187"/>
      <c r="I898" s="40"/>
      <c r="J898" s="157">
        <f>+G898*C898</f>
        <v>6.9399999999999995</v>
      </c>
      <c r="K898" s="40"/>
      <c r="L898" s="40"/>
      <c r="M898" s="131"/>
      <c r="N898" s="98"/>
      <c r="O898" s="65"/>
      <c r="P898" s="87"/>
      <c r="Q898" s="128"/>
      <c r="R898" s="128"/>
      <c r="S898" s="128"/>
      <c r="T898" s="87"/>
      <c r="U898" s="87"/>
      <c r="V898" s="87"/>
      <c r="W898" s="87"/>
    </row>
    <row r="899" spans="1:23" s="33" customFormat="1" ht="13.8" x14ac:dyDescent="0.25">
      <c r="A899" s="42"/>
      <c r="B899" s="35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59"/>
      <c r="N899" s="97"/>
      <c r="O899" s="32"/>
      <c r="P899" s="85"/>
      <c r="Q899" s="126"/>
      <c r="R899" s="126"/>
      <c r="S899" s="126"/>
      <c r="T899" s="85"/>
      <c r="U899" s="85"/>
      <c r="V899" s="85"/>
      <c r="W899" s="85"/>
    </row>
    <row r="900" spans="1:23" s="33" customFormat="1" ht="36" customHeight="1" x14ac:dyDescent="0.25">
      <c r="A900" s="42"/>
      <c r="B900" s="188" t="s">
        <v>371</v>
      </c>
      <c r="C900" s="40"/>
      <c r="D900" s="40"/>
      <c r="E900" s="40"/>
      <c r="F900" s="40"/>
      <c r="G900" s="40"/>
      <c r="H900" s="40"/>
      <c r="I900" s="40"/>
      <c r="J900" s="40"/>
      <c r="K900" s="156">
        <f>+H901+H904+H906+H909</f>
        <v>30.700000000000003</v>
      </c>
      <c r="L900" s="40">
        <v>1</v>
      </c>
      <c r="M900" s="59">
        <f>+L900*K900</f>
        <v>30.700000000000003</v>
      </c>
      <c r="N900" s="97" t="s">
        <v>7</v>
      </c>
      <c r="O900" s="32"/>
      <c r="P900" s="85"/>
      <c r="Q900" s="126"/>
      <c r="R900" s="126"/>
      <c r="S900" s="126"/>
      <c r="T900" s="85"/>
      <c r="U900" s="85"/>
      <c r="V900" s="85"/>
      <c r="W900" s="85"/>
    </row>
    <row r="901" spans="1:23" s="33" customFormat="1" ht="13.8" x14ac:dyDescent="0.25">
      <c r="A901" s="42"/>
      <c r="B901" s="68" t="s">
        <v>106</v>
      </c>
      <c r="C901" s="40"/>
      <c r="D901" s="106"/>
      <c r="E901" s="106"/>
      <c r="F901" s="106"/>
      <c r="G901" s="106"/>
      <c r="H901" s="186">
        <f>+SUM(H902:H902)</f>
        <v>8.5</v>
      </c>
      <c r="I901" s="40"/>
      <c r="J901" s="40"/>
      <c r="K901" s="40"/>
      <c r="L901" s="40"/>
      <c r="M901" s="59"/>
      <c r="N901" s="97"/>
      <c r="O901" s="32"/>
      <c r="P901" s="85"/>
      <c r="Q901" s="126"/>
      <c r="R901" s="126"/>
      <c r="S901" s="126"/>
      <c r="T901" s="85"/>
      <c r="U901" s="85"/>
      <c r="V901" s="85"/>
      <c r="W901" s="85"/>
    </row>
    <row r="902" spans="1:23" s="33" customFormat="1" ht="13.8" x14ac:dyDescent="0.25">
      <c r="A902" s="42"/>
      <c r="B902" s="64" t="s">
        <v>222</v>
      </c>
      <c r="C902" s="40">
        <v>1</v>
      </c>
      <c r="D902" s="40"/>
      <c r="E902" s="40"/>
      <c r="F902" s="40"/>
      <c r="G902" s="40"/>
      <c r="H902" s="157">
        <v>8.5</v>
      </c>
      <c r="I902" s="40"/>
      <c r="J902" s="40"/>
      <c r="K902" s="40"/>
      <c r="L902" s="40"/>
      <c r="M902" s="59"/>
      <c r="N902" s="97"/>
      <c r="O902" s="32"/>
      <c r="P902" s="85"/>
      <c r="Q902" s="126"/>
      <c r="R902" s="126"/>
      <c r="S902" s="126"/>
      <c r="T902" s="85"/>
      <c r="U902" s="85"/>
      <c r="V902" s="85"/>
      <c r="W902" s="85"/>
    </row>
    <row r="903" spans="1:23" s="33" customFormat="1" ht="13.8" x14ac:dyDescent="0.25">
      <c r="A903" s="42"/>
      <c r="B903" s="35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59"/>
      <c r="N903" s="97"/>
      <c r="O903" s="32"/>
      <c r="P903" s="85"/>
      <c r="Q903" s="126"/>
      <c r="R903" s="126"/>
      <c r="S903" s="126"/>
      <c r="T903" s="85"/>
      <c r="U903" s="85"/>
      <c r="V903" s="85"/>
      <c r="W903" s="85"/>
    </row>
    <row r="904" spans="1:23" s="66" customFormat="1" ht="13.8" x14ac:dyDescent="0.25">
      <c r="A904" s="34"/>
      <c r="B904" s="68" t="s">
        <v>107</v>
      </c>
      <c r="C904" s="40"/>
      <c r="D904" s="106"/>
      <c r="E904" s="106"/>
      <c r="F904" s="106"/>
      <c r="G904" s="106"/>
      <c r="H904" s="186">
        <f>+SUM(H905:H905)</f>
        <v>8.5</v>
      </c>
      <c r="I904" s="106"/>
      <c r="J904" s="106"/>
      <c r="K904" s="106"/>
      <c r="L904" s="106"/>
      <c r="M904" s="167"/>
      <c r="N904" s="168"/>
      <c r="O904" s="169"/>
      <c r="P904" s="170"/>
      <c r="Q904" s="171"/>
      <c r="R904" s="171"/>
      <c r="S904" s="171"/>
      <c r="T904" s="170"/>
      <c r="U904" s="170"/>
      <c r="V904" s="170"/>
      <c r="W904" s="170"/>
    </row>
    <row r="905" spans="1:23" s="66" customFormat="1" ht="13.8" x14ac:dyDescent="0.25">
      <c r="A905" s="34"/>
      <c r="B905" s="64" t="s">
        <v>222</v>
      </c>
      <c r="C905" s="40">
        <v>1</v>
      </c>
      <c r="D905" s="40"/>
      <c r="E905" s="40"/>
      <c r="F905" s="40"/>
      <c r="G905" s="40"/>
      <c r="H905" s="157">
        <v>8.5</v>
      </c>
      <c r="I905" s="40"/>
      <c r="J905" s="40"/>
      <c r="K905" s="40"/>
      <c r="L905" s="40"/>
      <c r="M905" s="131"/>
      <c r="N905" s="98"/>
      <c r="O905" s="65"/>
      <c r="P905" s="87"/>
      <c r="Q905" s="128"/>
      <c r="R905" s="128"/>
      <c r="S905" s="128"/>
      <c r="T905" s="87"/>
      <c r="U905" s="87"/>
      <c r="V905" s="87"/>
      <c r="W905" s="87"/>
    </row>
    <row r="906" spans="1:23" s="66" customFormat="1" ht="13.8" x14ac:dyDescent="0.25">
      <c r="A906" s="34"/>
      <c r="B906" s="68" t="s">
        <v>204</v>
      </c>
      <c r="C906" s="40"/>
      <c r="D906" s="40"/>
      <c r="E906" s="40"/>
      <c r="F906" s="40"/>
      <c r="G906" s="40"/>
      <c r="H906" s="186">
        <f>+SUM(H907:H908)</f>
        <v>9.6000000000000014</v>
      </c>
      <c r="I906" s="40"/>
      <c r="J906" s="40"/>
      <c r="K906" s="40"/>
      <c r="L906" s="40"/>
      <c r="M906" s="131"/>
      <c r="N906" s="98"/>
      <c r="O906" s="65"/>
      <c r="P906" s="87"/>
      <c r="Q906" s="128"/>
      <c r="R906" s="128"/>
      <c r="S906" s="128"/>
      <c r="T906" s="87"/>
      <c r="U906" s="87"/>
      <c r="V906" s="87"/>
      <c r="W906" s="87"/>
    </row>
    <row r="907" spans="1:23" s="66" customFormat="1" ht="13.8" x14ac:dyDescent="0.25">
      <c r="A907" s="34"/>
      <c r="B907" s="64" t="s">
        <v>224</v>
      </c>
      <c r="C907" s="40">
        <v>1</v>
      </c>
      <c r="D907" s="40"/>
      <c r="E907" s="40"/>
      <c r="F907" s="40"/>
      <c r="G907" s="40"/>
      <c r="H907" s="157">
        <v>5.4</v>
      </c>
      <c r="I907" s="40"/>
      <c r="J907" s="40"/>
      <c r="K907" s="40"/>
      <c r="L907" s="40"/>
      <c r="M907" s="131"/>
      <c r="N907" s="98"/>
      <c r="O907" s="65"/>
      <c r="P907" s="87"/>
      <c r="Q907" s="128"/>
      <c r="R907" s="128"/>
      <c r="S907" s="128"/>
      <c r="T907" s="87"/>
      <c r="U907" s="87"/>
      <c r="V907" s="87"/>
      <c r="W907" s="87"/>
    </row>
    <row r="908" spans="1:23" s="66" customFormat="1" ht="13.8" x14ac:dyDescent="0.25">
      <c r="A908" s="34"/>
      <c r="B908" s="64" t="s">
        <v>202</v>
      </c>
      <c r="C908" s="40">
        <v>1</v>
      </c>
      <c r="D908" s="40"/>
      <c r="E908" s="40"/>
      <c r="F908" s="40"/>
      <c r="G908" s="40"/>
      <c r="H908" s="157">
        <v>4.2</v>
      </c>
      <c r="I908" s="40"/>
      <c r="J908" s="40"/>
      <c r="K908" s="40"/>
      <c r="L908" s="40"/>
      <c r="M908" s="131"/>
      <c r="N908" s="98"/>
      <c r="O908" s="65"/>
      <c r="P908" s="87"/>
      <c r="Q908" s="128"/>
      <c r="R908" s="128"/>
      <c r="S908" s="128"/>
      <c r="T908" s="87"/>
      <c r="U908" s="87"/>
      <c r="V908" s="87"/>
      <c r="W908" s="87"/>
    </row>
    <row r="909" spans="1:23" s="66" customFormat="1" ht="13.8" x14ac:dyDescent="0.25">
      <c r="A909" s="34"/>
      <c r="B909" s="68" t="s">
        <v>205</v>
      </c>
      <c r="C909" s="40"/>
      <c r="D909" s="40"/>
      <c r="E909" s="40"/>
      <c r="F909" s="40"/>
      <c r="G909" s="40"/>
      <c r="H909" s="186">
        <f>+SUM(H910:H910)</f>
        <v>4.0999999999999996</v>
      </c>
      <c r="I909" s="40"/>
      <c r="J909" s="40"/>
      <c r="K909" s="40"/>
      <c r="L909" s="40"/>
      <c r="M909" s="131"/>
      <c r="N909" s="98"/>
      <c r="O909" s="65"/>
      <c r="P909" s="87"/>
      <c r="Q909" s="128"/>
      <c r="R909" s="128"/>
      <c r="S909" s="128"/>
      <c r="T909" s="87"/>
      <c r="U909" s="87"/>
      <c r="V909" s="87"/>
      <c r="W909" s="87"/>
    </row>
    <row r="910" spans="1:23" s="66" customFormat="1" ht="13.8" x14ac:dyDescent="0.25">
      <c r="A910" s="34"/>
      <c r="B910" s="64" t="s">
        <v>202</v>
      </c>
      <c r="C910" s="40">
        <v>1</v>
      </c>
      <c r="D910" s="40"/>
      <c r="E910" s="40"/>
      <c r="F910" s="40"/>
      <c r="G910" s="40"/>
      <c r="H910" s="157">
        <v>4.0999999999999996</v>
      </c>
      <c r="I910" s="40"/>
      <c r="J910" s="40"/>
      <c r="K910" s="40"/>
      <c r="L910" s="40"/>
      <c r="M910" s="131"/>
      <c r="N910" s="98"/>
      <c r="O910" s="65"/>
      <c r="P910" s="87"/>
      <c r="Q910" s="128"/>
      <c r="R910" s="128"/>
      <c r="S910" s="128"/>
      <c r="T910" s="87"/>
      <c r="U910" s="87"/>
      <c r="V910" s="87"/>
      <c r="W910" s="87"/>
    </row>
    <row r="911" spans="1:23" s="33" customFormat="1" ht="13.8" x14ac:dyDescent="0.25">
      <c r="A911" s="42"/>
      <c r="B911" s="35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59"/>
      <c r="N911" s="97"/>
      <c r="O911" s="32"/>
      <c r="P911" s="85"/>
      <c r="Q911" s="126"/>
      <c r="R911" s="126"/>
      <c r="S911" s="126"/>
      <c r="T911" s="85"/>
      <c r="U911" s="85"/>
      <c r="V911" s="85"/>
      <c r="W911" s="85"/>
    </row>
    <row r="912" spans="1:23" s="33" customFormat="1" ht="13.8" x14ac:dyDescent="0.25">
      <c r="A912" s="42"/>
      <c r="B912" s="188" t="s">
        <v>373</v>
      </c>
      <c r="C912" s="40"/>
      <c r="D912" s="40"/>
      <c r="E912" s="40"/>
      <c r="F912" s="40"/>
      <c r="G912" s="40"/>
      <c r="H912" s="40"/>
      <c r="I912" s="40"/>
      <c r="J912" s="40"/>
      <c r="K912" s="156" t="e">
        <f>+H913+#REF!+#REF!+#REF!</f>
        <v>#REF!</v>
      </c>
      <c r="L912" s="40">
        <v>1</v>
      </c>
      <c r="M912" s="59" t="e">
        <f>+L912*K912</f>
        <v>#REF!</v>
      </c>
      <c r="N912" s="97" t="s">
        <v>7</v>
      </c>
      <c r="O912" s="32"/>
      <c r="P912" s="85"/>
      <c r="Q912" s="126"/>
      <c r="R912" s="126"/>
      <c r="S912" s="126"/>
      <c r="T912" s="85"/>
      <c r="U912" s="85"/>
      <c r="V912" s="85"/>
      <c r="W912" s="85"/>
    </row>
    <row r="913" spans="1:23" s="66" customFormat="1" ht="13.8" x14ac:dyDescent="0.25">
      <c r="A913" s="34"/>
      <c r="B913" s="68" t="s">
        <v>106</v>
      </c>
      <c r="C913" s="40"/>
      <c r="D913" s="40"/>
      <c r="E913" s="40"/>
      <c r="F913" s="40"/>
      <c r="G913" s="40"/>
      <c r="H913" s="186" t="e">
        <f>+SUM(#REF!)-#REF!</f>
        <v>#REF!</v>
      </c>
      <c r="I913" s="40"/>
      <c r="J913" s="40"/>
      <c r="K913" s="40"/>
      <c r="L913" s="40"/>
      <c r="M913" s="131"/>
      <c r="N913" s="98"/>
      <c r="O913" s="65"/>
      <c r="P913" s="87"/>
      <c r="Q913" s="128"/>
      <c r="R913" s="128"/>
      <c r="S913" s="128"/>
      <c r="T913" s="87"/>
      <c r="U913" s="87"/>
      <c r="V913" s="87"/>
      <c r="W913" s="87"/>
    </row>
    <row r="914" spans="1:23" s="66" customFormat="1" ht="13.8" x14ac:dyDescent="0.25">
      <c r="A914" s="34"/>
      <c r="B914" s="64" t="s">
        <v>222</v>
      </c>
      <c r="I914" s="106"/>
      <c r="J914" s="106"/>
      <c r="K914" s="106"/>
      <c r="L914" s="106"/>
      <c r="M914" s="167"/>
      <c r="N914" s="168"/>
      <c r="O914" s="169"/>
      <c r="P914" s="170"/>
      <c r="Q914" s="171"/>
      <c r="R914" s="171"/>
      <c r="S914" s="171"/>
      <c r="T914" s="170"/>
      <c r="U914" s="170"/>
      <c r="V914" s="170"/>
      <c r="W914" s="170"/>
    </row>
    <row r="915" spans="1:23" s="33" customFormat="1" ht="13.8" x14ac:dyDescent="0.25">
      <c r="A915" s="42"/>
      <c r="B915" s="35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59"/>
      <c r="N915" s="97"/>
      <c r="O915" s="32"/>
      <c r="P915" s="85"/>
      <c r="Q915" s="126"/>
      <c r="R915" s="126"/>
      <c r="S915" s="126"/>
      <c r="T915" s="85"/>
      <c r="U915" s="85"/>
      <c r="V915" s="85"/>
      <c r="W915" s="85"/>
    </row>
    <row r="916" spans="1:23" s="33" customFormat="1" ht="13.8" x14ac:dyDescent="0.25">
      <c r="A916" s="42"/>
      <c r="B916" s="161" t="s">
        <v>67</v>
      </c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59"/>
      <c r="N916" s="97"/>
      <c r="O916" s="32"/>
      <c r="P916" s="85"/>
      <c r="Q916" s="126"/>
      <c r="R916" s="126"/>
      <c r="S916" s="126"/>
      <c r="T916" s="85"/>
      <c r="U916" s="85"/>
      <c r="V916" s="85"/>
      <c r="W916" s="85"/>
    </row>
    <row r="917" spans="1:23" s="33" customFormat="1" ht="13.8" x14ac:dyDescent="0.25">
      <c r="A917" s="42"/>
      <c r="B917" s="225" t="s">
        <v>344</v>
      </c>
      <c r="C917" s="40"/>
      <c r="D917" s="40"/>
      <c r="E917" s="40"/>
      <c r="F917" s="40"/>
      <c r="G917" s="40"/>
      <c r="H917" s="40"/>
      <c r="I917" s="40"/>
      <c r="J917" s="40"/>
      <c r="K917" s="131">
        <f>+SUM(K919:K930)</f>
        <v>282.3</v>
      </c>
      <c r="L917" s="40">
        <v>1</v>
      </c>
      <c r="M917" s="59">
        <f>+K917*L917</f>
        <v>282.3</v>
      </c>
      <c r="N917" s="97" t="s">
        <v>7</v>
      </c>
      <c r="O917" s="32"/>
      <c r="P917" s="85"/>
      <c r="Q917" s="126"/>
      <c r="R917" s="126"/>
      <c r="S917" s="126"/>
      <c r="T917" s="85"/>
      <c r="U917" s="85"/>
      <c r="V917" s="85"/>
      <c r="W917" s="85"/>
    </row>
    <row r="918" spans="1:23" s="66" customFormat="1" ht="13.8" x14ac:dyDescent="0.25">
      <c r="A918" s="34"/>
      <c r="B918" s="68" t="s">
        <v>106</v>
      </c>
      <c r="C918" s="40"/>
      <c r="D918" s="40"/>
      <c r="E918" s="40"/>
      <c r="F918" s="40"/>
      <c r="G918" s="40"/>
      <c r="H918" s="157"/>
      <c r="I918" s="40"/>
      <c r="J918" s="40"/>
      <c r="K918" s="40"/>
      <c r="L918" s="40"/>
      <c r="M918" s="131"/>
      <c r="N918" s="98"/>
      <c r="O918" s="65"/>
      <c r="P918" s="87"/>
      <c r="Q918" s="128"/>
      <c r="R918" s="128"/>
      <c r="S918" s="128"/>
      <c r="T918" s="87"/>
      <c r="U918" s="87"/>
      <c r="V918" s="87"/>
      <c r="W918" s="87"/>
    </row>
    <row r="919" spans="1:23" s="66" customFormat="1" ht="13.8" x14ac:dyDescent="0.25">
      <c r="A919" s="34"/>
      <c r="B919" s="39" t="s">
        <v>201</v>
      </c>
      <c r="C919" s="40">
        <v>1</v>
      </c>
      <c r="D919" s="40"/>
      <c r="E919" s="40"/>
      <c r="F919" s="40"/>
      <c r="G919" s="40"/>
      <c r="H919" s="40">
        <v>56.1</v>
      </c>
      <c r="I919" s="106"/>
      <c r="J919" s="106">
        <f t="shared" ref="J919:J927" si="268">+H919</f>
        <v>56.1</v>
      </c>
      <c r="K919" s="106">
        <f t="shared" ref="K919:K927" si="269">+J919*C919</f>
        <v>56.1</v>
      </c>
      <c r="L919" s="106"/>
      <c r="M919" s="167"/>
      <c r="N919" s="168"/>
      <c r="O919" s="169"/>
      <c r="P919" s="170"/>
      <c r="Q919" s="171"/>
      <c r="R919" s="171"/>
      <c r="S919" s="171"/>
      <c r="T919" s="170"/>
      <c r="U919" s="170"/>
      <c r="V919" s="170"/>
      <c r="W919" s="170"/>
    </row>
    <row r="920" spans="1:23" s="66" customFormat="1" ht="13.8" x14ac:dyDescent="0.25">
      <c r="A920" s="34"/>
      <c r="B920" s="68"/>
      <c r="C920" s="106"/>
      <c r="D920" s="106"/>
      <c r="E920" s="106"/>
      <c r="F920" s="106"/>
      <c r="G920" s="106"/>
      <c r="H920" s="157"/>
      <c r="I920" s="106"/>
      <c r="J920" s="106"/>
      <c r="K920" s="106"/>
      <c r="L920" s="106"/>
      <c r="M920" s="167"/>
      <c r="N920" s="168"/>
      <c r="O920" s="169"/>
      <c r="P920" s="170"/>
      <c r="Q920" s="171"/>
      <c r="R920" s="171"/>
      <c r="S920" s="171"/>
      <c r="T920" s="170"/>
      <c r="U920" s="170"/>
      <c r="V920" s="170"/>
      <c r="W920" s="170"/>
    </row>
    <row r="921" spans="1:23" s="66" customFormat="1" ht="13.8" x14ac:dyDescent="0.25">
      <c r="A921" s="34"/>
      <c r="B921" s="68" t="s">
        <v>107</v>
      </c>
      <c r="C921" s="40"/>
      <c r="D921" s="106"/>
      <c r="E921" s="106"/>
      <c r="F921" s="106"/>
      <c r="G921" s="106"/>
      <c r="H921" s="157"/>
      <c r="I921" s="106"/>
      <c r="J921" s="106"/>
      <c r="K921" s="106"/>
      <c r="L921" s="106"/>
      <c r="M921" s="167"/>
      <c r="N921" s="168"/>
      <c r="O921" s="169"/>
      <c r="P921" s="170"/>
      <c r="Q921" s="171"/>
      <c r="R921" s="171"/>
      <c r="S921" s="171"/>
      <c r="T921" s="170"/>
      <c r="U921" s="170"/>
      <c r="V921" s="170"/>
      <c r="W921" s="170"/>
    </row>
    <row r="922" spans="1:23" s="66" customFormat="1" ht="13.8" x14ac:dyDescent="0.25">
      <c r="A922" s="34"/>
      <c r="B922" s="64" t="s">
        <v>220</v>
      </c>
      <c r="C922" s="40">
        <v>1</v>
      </c>
      <c r="D922" s="40"/>
      <c r="E922" s="40"/>
      <c r="F922" s="40"/>
      <c r="G922" s="40"/>
      <c r="H922" s="157">
        <v>40.299999999999997</v>
      </c>
      <c r="I922" s="40"/>
      <c r="J922" s="106">
        <f t="shared" si="268"/>
        <v>40.299999999999997</v>
      </c>
      <c r="K922" s="106">
        <f t="shared" si="269"/>
        <v>40.299999999999997</v>
      </c>
      <c r="L922" s="106"/>
      <c r="M922" s="131"/>
      <c r="N922" s="98"/>
      <c r="O922" s="65"/>
      <c r="P922" s="87"/>
      <c r="Q922" s="128"/>
      <c r="R922" s="128"/>
      <c r="S922" s="128"/>
      <c r="T922" s="87"/>
      <c r="U922" s="87"/>
      <c r="V922" s="87"/>
      <c r="W922" s="87"/>
    </row>
    <row r="923" spans="1:23" s="66" customFormat="1" ht="13.8" x14ac:dyDescent="0.25">
      <c r="A923" s="34"/>
      <c r="B923" s="64" t="s">
        <v>221</v>
      </c>
      <c r="C923" s="40">
        <v>1</v>
      </c>
      <c r="D923" s="40"/>
      <c r="E923" s="40"/>
      <c r="F923" s="40"/>
      <c r="G923" s="40"/>
      <c r="H923" s="157">
        <v>66.8</v>
      </c>
      <c r="I923" s="40"/>
      <c r="J923" s="106">
        <f t="shared" si="268"/>
        <v>66.8</v>
      </c>
      <c r="K923" s="106">
        <f t="shared" si="269"/>
        <v>66.8</v>
      </c>
      <c r="L923" s="106"/>
      <c r="M923" s="131"/>
      <c r="N923" s="98"/>
      <c r="O923" s="65"/>
      <c r="P923" s="87"/>
      <c r="Q923" s="128"/>
      <c r="R923" s="128"/>
      <c r="S923" s="128"/>
      <c r="T923" s="87"/>
      <c r="U923" s="87"/>
      <c r="V923" s="87"/>
      <c r="W923" s="87"/>
    </row>
    <row r="924" spans="1:23" s="66" customFormat="1" ht="13.8" x14ac:dyDescent="0.25">
      <c r="A924" s="34"/>
      <c r="B924" s="64" t="s">
        <v>346</v>
      </c>
      <c r="C924" s="40">
        <v>1</v>
      </c>
      <c r="D924" s="40"/>
      <c r="E924" s="40"/>
      <c r="F924" s="40"/>
      <c r="G924" s="40"/>
      <c r="H924" s="157">
        <v>62.8</v>
      </c>
      <c r="I924" s="40"/>
      <c r="J924" s="106">
        <f t="shared" si="268"/>
        <v>62.8</v>
      </c>
      <c r="K924" s="106">
        <f t="shared" si="269"/>
        <v>62.8</v>
      </c>
      <c r="L924" s="106"/>
      <c r="M924" s="131"/>
      <c r="N924" s="98"/>
      <c r="O924" s="65"/>
      <c r="P924" s="87"/>
      <c r="Q924" s="128"/>
      <c r="R924" s="128"/>
      <c r="S924" s="128"/>
      <c r="T924" s="87"/>
      <c r="U924" s="87"/>
      <c r="V924" s="87"/>
      <c r="W924" s="87"/>
    </row>
    <row r="925" spans="1:23" s="66" customFormat="1" ht="13.8" x14ac:dyDescent="0.25">
      <c r="A925" s="34"/>
      <c r="B925" s="64"/>
      <c r="C925" s="40"/>
      <c r="D925" s="40"/>
      <c r="E925" s="40"/>
      <c r="F925" s="40"/>
      <c r="G925" s="40"/>
      <c r="H925" s="157"/>
      <c r="I925" s="40"/>
      <c r="J925" s="106"/>
      <c r="K925" s="106"/>
      <c r="L925" s="106"/>
      <c r="M925" s="131"/>
      <c r="N925" s="98"/>
      <c r="O925" s="65"/>
      <c r="P925" s="87"/>
      <c r="Q925" s="128"/>
      <c r="R925" s="128"/>
      <c r="S925" s="128"/>
      <c r="T925" s="87"/>
      <c r="U925" s="87"/>
      <c r="V925" s="87"/>
      <c r="W925" s="87"/>
    </row>
    <row r="926" spans="1:23" s="66" customFormat="1" ht="13.8" x14ac:dyDescent="0.25">
      <c r="A926" s="34"/>
      <c r="B926" s="68" t="s">
        <v>204</v>
      </c>
      <c r="C926" s="40"/>
      <c r="D926" s="40"/>
      <c r="E926" s="40"/>
      <c r="F926" s="40"/>
      <c r="G926" s="40"/>
      <c r="H926" s="157"/>
      <c r="I926" s="40"/>
      <c r="J926" s="106"/>
      <c r="K926" s="106"/>
      <c r="L926" s="106"/>
      <c r="M926" s="131"/>
      <c r="N926" s="98"/>
      <c r="O926" s="65"/>
      <c r="P926" s="87"/>
      <c r="Q926" s="128"/>
      <c r="R926" s="128"/>
      <c r="S926" s="128"/>
      <c r="T926" s="87"/>
      <c r="U926" s="87"/>
      <c r="V926" s="87"/>
      <c r="W926" s="87"/>
    </row>
    <row r="927" spans="1:23" s="66" customFormat="1" ht="13.8" x14ac:dyDescent="0.25">
      <c r="A927" s="34"/>
      <c r="B927" s="64" t="s">
        <v>223</v>
      </c>
      <c r="C927" s="40">
        <v>1</v>
      </c>
      <c r="D927" s="40"/>
      <c r="E927" s="40"/>
      <c r="F927" s="40"/>
      <c r="G927" s="40"/>
      <c r="H927" s="157">
        <v>46.2</v>
      </c>
      <c r="I927" s="40"/>
      <c r="J927" s="106">
        <f t="shared" si="268"/>
        <v>46.2</v>
      </c>
      <c r="K927" s="106">
        <f t="shared" si="269"/>
        <v>46.2</v>
      </c>
      <c r="L927" s="106"/>
      <c r="M927" s="131"/>
      <c r="N927" s="98"/>
      <c r="O927" s="65"/>
      <c r="P927" s="87"/>
      <c r="Q927" s="128"/>
      <c r="R927" s="128"/>
      <c r="S927" s="128"/>
      <c r="T927" s="87"/>
      <c r="U927" s="87"/>
      <c r="V927" s="87"/>
      <c r="W927" s="87"/>
    </row>
    <row r="928" spans="1:23" s="66" customFormat="1" ht="13.8" x14ac:dyDescent="0.25">
      <c r="A928" s="34"/>
      <c r="B928" s="64"/>
      <c r="C928" s="40"/>
      <c r="D928" s="40"/>
      <c r="E928" s="40"/>
      <c r="F928" s="40"/>
      <c r="G928" s="40"/>
      <c r="H928" s="157"/>
      <c r="I928" s="40"/>
      <c r="J928" s="106"/>
      <c r="K928" s="106"/>
      <c r="L928" s="106"/>
      <c r="M928" s="131"/>
      <c r="N928" s="98"/>
      <c r="O928" s="65"/>
      <c r="P928" s="87"/>
      <c r="Q928" s="128"/>
      <c r="R928" s="128"/>
      <c r="S928" s="128"/>
      <c r="T928" s="87"/>
      <c r="U928" s="87"/>
      <c r="V928" s="87"/>
      <c r="W928" s="87"/>
    </row>
    <row r="929" spans="1:23" s="66" customFormat="1" ht="13.8" x14ac:dyDescent="0.25">
      <c r="A929" s="34"/>
      <c r="B929" s="68" t="s">
        <v>205</v>
      </c>
      <c r="C929" s="40"/>
      <c r="D929" s="40"/>
      <c r="E929" s="40"/>
      <c r="F929" s="40"/>
      <c r="G929" s="40"/>
      <c r="H929" s="157"/>
      <c r="I929" s="40"/>
      <c r="J929" s="106"/>
      <c r="K929" s="106"/>
      <c r="L929" s="106"/>
      <c r="M929" s="131"/>
      <c r="N929" s="98"/>
      <c r="O929" s="65"/>
      <c r="P929" s="87"/>
      <c r="Q929" s="128"/>
      <c r="R929" s="128"/>
      <c r="S929" s="128"/>
      <c r="T929" s="87"/>
      <c r="U929" s="87"/>
      <c r="V929" s="87"/>
      <c r="W929" s="87"/>
    </row>
    <row r="930" spans="1:23" s="66" customFormat="1" ht="13.8" x14ac:dyDescent="0.25">
      <c r="A930" s="34"/>
      <c r="B930" s="64" t="s">
        <v>226</v>
      </c>
      <c r="C930" s="40">
        <v>1</v>
      </c>
      <c r="D930" s="40"/>
      <c r="E930" s="40"/>
      <c r="F930" s="40"/>
      <c r="G930" s="40"/>
      <c r="H930" s="157">
        <v>10.1</v>
      </c>
      <c r="I930" s="40"/>
      <c r="J930" s="106">
        <f t="shared" ref="J930" si="270">+H930</f>
        <v>10.1</v>
      </c>
      <c r="K930" s="106">
        <f t="shared" ref="K930" si="271">+J930*C930</f>
        <v>10.1</v>
      </c>
      <c r="L930" s="106"/>
      <c r="M930" s="131"/>
      <c r="N930" s="98"/>
      <c r="O930" s="65"/>
      <c r="P930" s="87"/>
      <c r="Q930" s="128"/>
      <c r="R930" s="128"/>
      <c r="S930" s="128"/>
      <c r="T930" s="87"/>
      <c r="U930" s="87"/>
      <c r="V930" s="87"/>
      <c r="W930" s="87"/>
    </row>
    <row r="931" spans="1:23" s="33" customFormat="1" ht="13.8" x14ac:dyDescent="0.25">
      <c r="A931" s="42"/>
      <c r="B931" s="58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59"/>
      <c r="N931" s="97"/>
      <c r="O931" s="32"/>
      <c r="P931" s="85"/>
      <c r="Q931" s="126"/>
      <c r="R931" s="126"/>
      <c r="S931" s="126"/>
      <c r="T931" s="85"/>
      <c r="U931" s="85"/>
      <c r="V931" s="85"/>
      <c r="W931" s="85"/>
    </row>
    <row r="932" spans="1:23" s="33" customFormat="1" ht="13.8" x14ac:dyDescent="0.25">
      <c r="A932" s="42"/>
      <c r="B932" s="225" t="s">
        <v>343</v>
      </c>
      <c r="C932" s="40"/>
      <c r="D932" s="40"/>
      <c r="E932" s="40"/>
      <c r="F932" s="40"/>
      <c r="G932" s="40"/>
      <c r="H932" s="40"/>
      <c r="I932" s="40"/>
      <c r="J932" s="40"/>
      <c r="K932" s="40">
        <f>+SUM(K934:K946)</f>
        <v>52.937500000000007</v>
      </c>
      <c r="L932" s="40">
        <v>1</v>
      </c>
      <c r="M932" s="59">
        <f>+K932*L932</f>
        <v>52.937500000000007</v>
      </c>
      <c r="N932" s="97" t="s">
        <v>7</v>
      </c>
      <c r="O932" s="32"/>
      <c r="P932" s="85"/>
      <c r="Q932" s="126"/>
      <c r="R932" s="126"/>
      <c r="S932" s="126"/>
      <c r="T932" s="85"/>
      <c r="U932" s="85"/>
      <c r="V932" s="85"/>
      <c r="W932" s="85"/>
    </row>
    <row r="933" spans="1:23" s="66" customFormat="1" ht="13.8" x14ac:dyDescent="0.25">
      <c r="A933" s="34"/>
      <c r="B933" s="58" t="s">
        <v>106</v>
      </c>
      <c r="C933" s="187"/>
      <c r="D933" s="187"/>
      <c r="E933" s="187"/>
      <c r="F933" s="187"/>
      <c r="G933" s="187"/>
      <c r="H933" s="187"/>
      <c r="I933" s="187"/>
      <c r="J933" s="187"/>
      <c r="K933" s="187"/>
      <c r="L933" s="62"/>
      <c r="M933" s="156"/>
      <c r="N933" s="33"/>
      <c r="O933" s="65"/>
      <c r="P933" s="87"/>
      <c r="Q933" s="128"/>
      <c r="R933" s="128"/>
      <c r="S933" s="128"/>
      <c r="T933" s="87"/>
      <c r="U933" s="87"/>
      <c r="V933" s="87"/>
      <c r="W933" s="87"/>
    </row>
    <row r="934" spans="1:23" s="66" customFormat="1" ht="13.8" x14ac:dyDescent="0.25">
      <c r="A934" s="34"/>
      <c r="B934" s="39" t="s">
        <v>292</v>
      </c>
      <c r="C934" s="40">
        <v>1</v>
      </c>
      <c r="D934" s="40"/>
      <c r="E934" s="40"/>
      <c r="F934" s="40"/>
      <c r="G934" s="40"/>
      <c r="H934" s="40">
        <v>4.3</v>
      </c>
      <c r="I934" s="40"/>
      <c r="J934" s="40"/>
      <c r="K934" s="156">
        <f t="shared" ref="K934" si="272">+H934*C934</f>
        <v>4.3</v>
      </c>
      <c r="L934" s="40"/>
      <c r="M934" s="59"/>
      <c r="N934" s="98"/>
      <c r="O934" s="65"/>
      <c r="P934" s="87"/>
      <c r="Q934" s="128"/>
      <c r="R934" s="128"/>
      <c r="S934" s="128"/>
      <c r="T934" s="87"/>
      <c r="U934" s="87"/>
      <c r="V934" s="87"/>
      <c r="W934" s="87"/>
    </row>
    <row r="935" spans="1:23" s="66" customFormat="1" ht="13.8" x14ac:dyDescent="0.25">
      <c r="A935" s="34"/>
      <c r="B935" s="39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59"/>
      <c r="N935" s="98"/>
      <c r="O935" s="65"/>
      <c r="P935" s="87"/>
      <c r="Q935" s="128"/>
      <c r="R935" s="128"/>
      <c r="S935" s="128"/>
      <c r="T935" s="87"/>
      <c r="U935" s="87"/>
      <c r="V935" s="87"/>
      <c r="W935" s="87"/>
    </row>
    <row r="936" spans="1:23" s="66" customFormat="1" ht="13.8" x14ac:dyDescent="0.25">
      <c r="A936" s="34"/>
      <c r="B936" s="58" t="s">
        <v>107</v>
      </c>
      <c r="C936" s="187"/>
      <c r="D936" s="187"/>
      <c r="E936" s="187"/>
      <c r="F936" s="187"/>
      <c r="G936" s="187"/>
      <c r="H936" s="187"/>
      <c r="I936" s="187"/>
      <c r="J936" s="187"/>
      <c r="K936" s="187"/>
      <c r="L936" s="62"/>
      <c r="M936" s="156"/>
      <c r="N936" s="33"/>
      <c r="O936" s="65"/>
      <c r="P936" s="87"/>
      <c r="Q936" s="128"/>
      <c r="R936" s="128"/>
      <c r="S936" s="128"/>
      <c r="T936" s="87"/>
      <c r="U936" s="87"/>
      <c r="V936" s="87"/>
      <c r="W936" s="87"/>
    </row>
    <row r="937" spans="1:23" s="66" customFormat="1" ht="13.8" x14ac:dyDescent="0.25">
      <c r="A937" s="34"/>
      <c r="B937" s="39" t="s">
        <v>585</v>
      </c>
      <c r="C937" s="40">
        <v>1</v>
      </c>
      <c r="D937" s="40"/>
      <c r="E937" s="40"/>
      <c r="F937" s="40"/>
      <c r="G937" s="40"/>
      <c r="H937" s="40">
        <v>3.5</v>
      </c>
      <c r="I937" s="40"/>
      <c r="J937" s="40"/>
      <c r="K937" s="156">
        <f t="shared" ref="K937:K939" si="273">+H937*C937</f>
        <v>3.5</v>
      </c>
      <c r="L937" s="40"/>
      <c r="M937" s="59"/>
      <c r="N937" s="98"/>
      <c r="O937" s="65"/>
      <c r="P937" s="87"/>
      <c r="Q937" s="128"/>
      <c r="R937" s="128"/>
      <c r="S937" s="128"/>
      <c r="T937" s="87"/>
      <c r="U937" s="87"/>
      <c r="V937" s="87"/>
      <c r="W937" s="87"/>
    </row>
    <row r="938" spans="1:23" s="66" customFormat="1" ht="13.8" x14ac:dyDescent="0.25">
      <c r="A938" s="34"/>
      <c r="B938" s="39" t="s">
        <v>586</v>
      </c>
      <c r="C938" s="40">
        <v>1</v>
      </c>
      <c r="D938" s="40"/>
      <c r="E938" s="40"/>
      <c r="F938" s="40"/>
      <c r="G938" s="40"/>
      <c r="H938" s="40">
        <v>4.9000000000000004</v>
      </c>
      <c r="I938" s="40"/>
      <c r="J938" s="40"/>
      <c r="K938" s="156">
        <f t="shared" si="273"/>
        <v>4.9000000000000004</v>
      </c>
      <c r="L938" s="40"/>
      <c r="M938" s="59"/>
      <c r="N938" s="98"/>
      <c r="O938" s="65"/>
      <c r="P938" s="87"/>
      <c r="Q938" s="128"/>
      <c r="R938" s="128"/>
      <c r="S938" s="128"/>
      <c r="T938" s="87"/>
      <c r="U938" s="87"/>
      <c r="V938" s="87"/>
      <c r="W938" s="87"/>
    </row>
    <row r="939" spans="1:23" s="66" customFormat="1" ht="13.8" x14ac:dyDescent="0.25">
      <c r="A939" s="34"/>
      <c r="B939" s="39" t="s">
        <v>227</v>
      </c>
      <c r="C939" s="40">
        <v>1</v>
      </c>
      <c r="D939" s="40"/>
      <c r="E939" s="40"/>
      <c r="F939" s="40"/>
      <c r="G939" s="40"/>
      <c r="H939" s="40">
        <f>2.85*2.75</f>
        <v>7.8375000000000004</v>
      </c>
      <c r="I939" s="40"/>
      <c r="J939" s="40"/>
      <c r="K939" s="156">
        <f t="shared" si="273"/>
        <v>7.8375000000000004</v>
      </c>
      <c r="L939" s="40"/>
      <c r="M939" s="59"/>
      <c r="N939" s="98"/>
      <c r="O939" s="65"/>
      <c r="P939" s="87"/>
      <c r="Q939" s="128"/>
      <c r="R939" s="128"/>
      <c r="S939" s="128"/>
      <c r="T939" s="87"/>
      <c r="U939" s="87"/>
      <c r="V939" s="87"/>
      <c r="W939" s="87"/>
    </row>
    <row r="940" spans="1:23" s="66" customFormat="1" ht="13.8" x14ac:dyDescent="0.25">
      <c r="A940" s="34"/>
      <c r="B940" s="39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59"/>
      <c r="N940" s="227"/>
      <c r="O940" s="65"/>
      <c r="P940" s="87"/>
      <c r="Q940" s="128"/>
      <c r="R940" s="128"/>
      <c r="S940" s="128"/>
      <c r="T940" s="87"/>
      <c r="U940" s="87"/>
      <c r="V940" s="87"/>
      <c r="W940" s="87"/>
    </row>
    <row r="941" spans="1:23" s="66" customFormat="1" ht="13.8" x14ac:dyDescent="0.25">
      <c r="A941" s="34"/>
      <c r="B941" s="58" t="s">
        <v>204</v>
      </c>
      <c r="C941" s="187"/>
      <c r="D941" s="187"/>
      <c r="E941" s="187"/>
      <c r="F941" s="187"/>
      <c r="G941" s="187"/>
      <c r="H941" s="187"/>
      <c r="I941" s="187"/>
      <c r="J941" s="187"/>
      <c r="K941" s="187"/>
      <c r="L941" s="62"/>
      <c r="M941" s="156"/>
      <c r="N941" s="33"/>
      <c r="O941" s="65"/>
      <c r="P941" s="87"/>
      <c r="Q941" s="128"/>
      <c r="R941" s="128"/>
      <c r="S941" s="128"/>
      <c r="T941" s="87"/>
      <c r="U941" s="87"/>
      <c r="V941" s="87"/>
      <c r="W941" s="87"/>
    </row>
    <row r="942" spans="1:23" s="66" customFormat="1" ht="13.8" x14ac:dyDescent="0.25">
      <c r="A942" s="34"/>
      <c r="B942" s="39" t="s">
        <v>586</v>
      </c>
      <c r="C942" s="40">
        <v>1</v>
      </c>
      <c r="D942" s="40"/>
      <c r="E942" s="40"/>
      <c r="F942" s="40"/>
      <c r="G942" s="40"/>
      <c r="H942" s="40">
        <f>8.5+9.3</f>
        <v>17.8</v>
      </c>
      <c r="I942" s="40"/>
      <c r="J942" s="40"/>
      <c r="K942" s="156">
        <f t="shared" ref="K942:K944" si="274">+H942*C942</f>
        <v>17.8</v>
      </c>
      <c r="L942" s="40"/>
      <c r="M942" s="59"/>
      <c r="N942" s="98"/>
      <c r="O942" s="65"/>
      <c r="P942" s="87"/>
      <c r="Q942" s="128"/>
      <c r="R942" s="128"/>
      <c r="S942" s="128"/>
      <c r="T942" s="87"/>
      <c r="U942" s="87"/>
      <c r="V942" s="87"/>
      <c r="W942" s="87"/>
    </row>
    <row r="943" spans="1:23" s="66" customFormat="1" ht="13.8" x14ac:dyDescent="0.25">
      <c r="A943" s="34"/>
      <c r="B943" s="39" t="s">
        <v>591</v>
      </c>
      <c r="C943" s="40">
        <v>1</v>
      </c>
      <c r="D943" s="40"/>
      <c r="E943" s="40"/>
      <c r="F943" s="40"/>
      <c r="G943" s="40"/>
      <c r="H943" s="40">
        <v>5.6</v>
      </c>
      <c r="I943" s="40"/>
      <c r="J943" s="40"/>
      <c r="K943" s="156">
        <f t="shared" si="274"/>
        <v>5.6</v>
      </c>
      <c r="L943" s="40"/>
      <c r="M943" s="59"/>
      <c r="N943" s="98"/>
      <c r="O943" s="65"/>
      <c r="P943" s="87"/>
      <c r="Q943" s="128"/>
      <c r="R943" s="128"/>
      <c r="S943" s="128"/>
      <c r="T943" s="87"/>
      <c r="U943" s="87"/>
      <c r="V943" s="87"/>
      <c r="W943" s="87"/>
    </row>
    <row r="944" spans="1:23" s="66" customFormat="1" ht="13.8" x14ac:dyDescent="0.25">
      <c r="A944" s="34"/>
      <c r="B944" s="39" t="s">
        <v>227</v>
      </c>
      <c r="C944" s="40">
        <v>1</v>
      </c>
      <c r="D944" s="40"/>
      <c r="E944" s="40"/>
      <c r="F944" s="40"/>
      <c r="G944" s="40"/>
      <c r="H944" s="40">
        <v>4.9000000000000004</v>
      </c>
      <c r="I944" s="40"/>
      <c r="J944" s="40"/>
      <c r="K944" s="156">
        <f t="shared" si="274"/>
        <v>4.9000000000000004</v>
      </c>
      <c r="L944" s="40"/>
      <c r="M944" s="59"/>
      <c r="N944" s="98"/>
      <c r="O944" s="65"/>
      <c r="P944" s="87"/>
      <c r="Q944" s="128"/>
      <c r="R944" s="128"/>
      <c r="S944" s="128"/>
      <c r="T944" s="87"/>
      <c r="U944" s="87"/>
      <c r="V944" s="87"/>
      <c r="W944" s="87"/>
    </row>
    <row r="945" spans="1:23" s="66" customFormat="1" ht="13.8" x14ac:dyDescent="0.25">
      <c r="A945" s="34"/>
      <c r="B945" s="58" t="s">
        <v>205</v>
      </c>
      <c r="C945" s="40"/>
      <c r="D945" s="40"/>
      <c r="E945" s="40"/>
      <c r="F945" s="40"/>
      <c r="G945" s="40"/>
      <c r="H945" s="40"/>
      <c r="I945" s="40"/>
      <c r="J945" s="40"/>
      <c r="K945" s="156"/>
      <c r="L945" s="40"/>
      <c r="M945" s="59"/>
      <c r="N945" s="98"/>
      <c r="O945" s="65"/>
      <c r="P945" s="87"/>
      <c r="Q945" s="128"/>
      <c r="R945" s="128"/>
      <c r="S945" s="128"/>
      <c r="T945" s="87"/>
      <c r="U945" s="87"/>
      <c r="V945" s="87"/>
      <c r="W945" s="87"/>
    </row>
    <row r="946" spans="1:23" s="66" customFormat="1" ht="13.8" x14ac:dyDescent="0.25">
      <c r="A946" s="34"/>
      <c r="B946" s="39" t="s">
        <v>648</v>
      </c>
      <c r="C946" s="40">
        <v>1</v>
      </c>
      <c r="D946" s="40"/>
      <c r="E946" s="40"/>
      <c r="F946" s="40"/>
      <c r="G946" s="40"/>
      <c r="H946" s="40">
        <v>4.0999999999999996</v>
      </c>
      <c r="I946" s="40"/>
      <c r="J946" s="40"/>
      <c r="K946" s="156">
        <f t="shared" ref="K946" si="275">+H946*C946</f>
        <v>4.0999999999999996</v>
      </c>
      <c r="L946" s="40"/>
      <c r="M946" s="59"/>
      <c r="N946" s="98"/>
      <c r="O946" s="65"/>
      <c r="P946" s="87"/>
      <c r="Q946" s="128"/>
      <c r="R946" s="128"/>
      <c r="S946" s="128"/>
      <c r="T946" s="87"/>
      <c r="U946" s="87"/>
      <c r="V946" s="87"/>
      <c r="W946" s="87"/>
    </row>
    <row r="947" spans="1:23" s="33" customFormat="1" ht="13.8" x14ac:dyDescent="0.25">
      <c r="A947" s="42"/>
      <c r="B947" s="35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201"/>
      <c r="N947" s="159"/>
      <c r="O947" s="32"/>
      <c r="P947" s="85"/>
      <c r="Q947" s="126"/>
      <c r="R947" s="126"/>
      <c r="S947" s="126"/>
      <c r="T947" s="85"/>
      <c r="U947" s="85"/>
      <c r="V947" s="85"/>
      <c r="W947" s="85"/>
    </row>
    <row r="948" spans="1:23" s="33" customFormat="1" ht="13.8" x14ac:dyDescent="0.25">
      <c r="A948" s="42"/>
      <c r="B948" s="35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201"/>
      <c r="N948" s="159"/>
      <c r="O948" s="32"/>
      <c r="P948" s="85"/>
      <c r="Q948" s="126"/>
      <c r="R948" s="126"/>
      <c r="S948" s="126"/>
      <c r="T948" s="85"/>
      <c r="U948" s="85"/>
      <c r="V948" s="85"/>
      <c r="W948" s="85"/>
    </row>
    <row r="949" spans="1:23" s="33" customFormat="1" ht="13.8" x14ac:dyDescent="0.25">
      <c r="A949" s="42"/>
      <c r="B949" s="35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201"/>
      <c r="N949" s="159"/>
      <c r="O949" s="32"/>
      <c r="P949" s="85"/>
      <c r="Q949" s="126"/>
      <c r="R949" s="126"/>
      <c r="S949" s="126"/>
      <c r="T949" s="85"/>
      <c r="U949" s="85"/>
      <c r="V949" s="85"/>
      <c r="W949" s="85"/>
    </row>
    <row r="950" spans="1:23" s="33" customFormat="1" ht="13.8" x14ac:dyDescent="0.25">
      <c r="A950" s="42"/>
      <c r="B950" s="35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201"/>
      <c r="N950" s="159"/>
      <c r="O950" s="32"/>
      <c r="P950" s="85"/>
      <c r="Q950" s="126"/>
      <c r="R950" s="126"/>
      <c r="S950" s="126"/>
      <c r="T950" s="85"/>
      <c r="U950" s="85"/>
      <c r="V950" s="85"/>
      <c r="W950" s="85"/>
    </row>
    <row r="951" spans="1:23" s="33" customFormat="1" ht="13.8" x14ac:dyDescent="0.25">
      <c r="A951" s="42"/>
      <c r="B951" s="35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201"/>
      <c r="N951" s="159"/>
      <c r="O951" s="32"/>
      <c r="P951" s="85"/>
      <c r="Q951" s="126"/>
      <c r="R951" s="126"/>
      <c r="S951" s="126"/>
      <c r="T951" s="85"/>
      <c r="U951" s="85"/>
      <c r="V951" s="85"/>
      <c r="W951" s="85"/>
    </row>
    <row r="952" spans="1:23" s="33" customFormat="1" ht="13.8" x14ac:dyDescent="0.25">
      <c r="A952" s="42"/>
      <c r="B952" s="35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201"/>
      <c r="N952" s="159"/>
      <c r="O952" s="32"/>
      <c r="P952" s="85"/>
      <c r="Q952" s="126"/>
      <c r="R952" s="126"/>
      <c r="S952" s="126"/>
      <c r="T952" s="85"/>
      <c r="U952" s="85"/>
      <c r="V952" s="85"/>
      <c r="W952" s="85"/>
    </row>
    <row r="953" spans="1:23" s="33" customFormat="1" ht="13.8" x14ac:dyDescent="0.25">
      <c r="A953" s="42"/>
      <c r="B953" s="35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201"/>
      <c r="N953" s="159"/>
      <c r="O953" s="32"/>
      <c r="P953" s="85"/>
      <c r="Q953" s="126"/>
      <c r="R953" s="126"/>
      <c r="S953" s="126"/>
      <c r="T953" s="85"/>
      <c r="U953" s="85"/>
      <c r="V953" s="85"/>
      <c r="W953" s="85"/>
    </row>
    <row r="954" spans="1:23" s="33" customFormat="1" ht="13.8" x14ac:dyDescent="0.25">
      <c r="A954" s="42"/>
      <c r="B954" s="35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201"/>
      <c r="N954" s="159"/>
      <c r="O954" s="32"/>
      <c r="P954" s="85"/>
      <c r="Q954" s="126"/>
      <c r="R954" s="126"/>
      <c r="S954" s="126"/>
      <c r="T954" s="85"/>
      <c r="U954" s="85"/>
      <c r="V954" s="85"/>
      <c r="W954" s="85"/>
    </row>
    <row r="955" spans="1:23" s="33" customFormat="1" ht="13.8" x14ac:dyDescent="0.25">
      <c r="A955" s="42"/>
      <c r="B955" s="35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201"/>
      <c r="N955" s="159"/>
      <c r="O955" s="32"/>
      <c r="P955" s="85"/>
      <c r="Q955" s="126"/>
      <c r="R955" s="126"/>
      <c r="S955" s="126"/>
      <c r="T955" s="85"/>
      <c r="U955" s="85"/>
      <c r="V955" s="85"/>
      <c r="W955" s="85"/>
    </row>
    <row r="956" spans="1:23" s="33" customFormat="1" ht="13.8" x14ac:dyDescent="0.25">
      <c r="A956" s="42"/>
      <c r="B956" s="35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201"/>
      <c r="N956" s="159"/>
      <c r="O956" s="32"/>
      <c r="P956" s="85"/>
      <c r="Q956" s="126"/>
      <c r="R956" s="126"/>
      <c r="S956" s="126"/>
      <c r="T956" s="85"/>
      <c r="U956" s="85"/>
      <c r="V956" s="85"/>
      <c r="W956" s="85"/>
    </row>
    <row r="957" spans="1:23" s="33" customFormat="1" ht="13.8" x14ac:dyDescent="0.25">
      <c r="A957" s="42"/>
      <c r="B957" s="35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201"/>
      <c r="N957" s="159"/>
      <c r="O957" s="32"/>
      <c r="P957" s="85"/>
      <c r="Q957" s="126"/>
      <c r="R957" s="126"/>
      <c r="S957" s="126"/>
      <c r="T957" s="85"/>
      <c r="U957" s="85"/>
      <c r="V957" s="85"/>
      <c r="W957" s="85"/>
    </row>
    <row r="958" spans="1:23" s="33" customFormat="1" ht="13.8" x14ac:dyDescent="0.25">
      <c r="A958" s="42"/>
      <c r="B958" s="161" t="s">
        <v>336</v>
      </c>
      <c r="C958" s="40"/>
      <c r="D958" s="40"/>
      <c r="E958" s="40"/>
      <c r="F958" s="40"/>
      <c r="G958" s="40"/>
      <c r="H958" s="40"/>
      <c r="I958" s="40"/>
      <c r="J958" s="40"/>
      <c r="K958" s="40">
        <f>+SUM(K961:K979)</f>
        <v>71.239999999999995</v>
      </c>
      <c r="L958" s="40">
        <v>1</v>
      </c>
      <c r="M958" s="59">
        <f>+K958*L958</f>
        <v>71.239999999999995</v>
      </c>
      <c r="N958" s="97" t="s">
        <v>7</v>
      </c>
      <c r="O958" s="32"/>
      <c r="P958" s="85"/>
      <c r="Q958" s="126"/>
      <c r="R958" s="126"/>
      <c r="S958" s="126"/>
      <c r="T958" s="85"/>
      <c r="U958" s="85"/>
      <c r="V958" s="85"/>
      <c r="W958" s="85"/>
    </row>
    <row r="959" spans="1:23" s="33" customFormat="1" ht="13.8" x14ac:dyDescent="0.25">
      <c r="A959" s="42"/>
      <c r="B959" s="163" t="s">
        <v>641</v>
      </c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59"/>
      <c r="N959" s="97"/>
      <c r="O959" s="32"/>
      <c r="P959" s="85"/>
      <c r="Q959" s="126"/>
      <c r="R959" s="126"/>
      <c r="S959" s="126"/>
      <c r="T959" s="85"/>
      <c r="U959" s="85"/>
      <c r="V959" s="85"/>
      <c r="W959" s="85"/>
    </row>
    <row r="960" spans="1:23" s="33" customFormat="1" ht="13.8" x14ac:dyDescent="0.25">
      <c r="A960" s="42"/>
      <c r="B960" s="61" t="s">
        <v>106</v>
      </c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59"/>
      <c r="N960" s="97"/>
      <c r="O960" s="32"/>
      <c r="P960" s="85"/>
      <c r="Q960" s="126"/>
      <c r="R960" s="126"/>
      <c r="S960" s="126"/>
      <c r="T960" s="85"/>
      <c r="U960" s="85"/>
      <c r="V960" s="85"/>
      <c r="W960" s="85"/>
    </row>
    <row r="961" spans="1:23" s="33" customFormat="1" ht="13.8" x14ac:dyDescent="0.25">
      <c r="A961" s="42"/>
      <c r="B961" s="35" t="s">
        <v>643</v>
      </c>
      <c r="C961" s="40">
        <v>1</v>
      </c>
      <c r="D961" s="40">
        <v>4</v>
      </c>
      <c r="E961" s="40"/>
      <c r="F961" s="40">
        <v>2.6</v>
      </c>
      <c r="G961" s="40"/>
      <c r="H961" s="40">
        <f>+F961*D961</f>
        <v>10.4</v>
      </c>
      <c r="I961" s="40"/>
      <c r="J961" s="40">
        <f>+H961</f>
        <v>10.4</v>
      </c>
      <c r="K961" s="40">
        <f>+J961*C961</f>
        <v>10.4</v>
      </c>
      <c r="L961" s="40"/>
      <c r="M961" s="59"/>
      <c r="N961" s="97"/>
      <c r="O961" s="32"/>
      <c r="P961" s="85"/>
      <c r="Q961" s="126"/>
      <c r="R961" s="126"/>
      <c r="S961" s="126"/>
      <c r="T961" s="85"/>
      <c r="U961" s="85"/>
      <c r="V961" s="85"/>
      <c r="W961" s="85"/>
    </row>
    <row r="962" spans="1:23" s="33" customFormat="1" ht="13.8" x14ac:dyDescent="0.25">
      <c r="A962" s="42"/>
      <c r="B962" s="35" t="s">
        <v>200</v>
      </c>
      <c r="C962" s="40">
        <v>1</v>
      </c>
      <c r="D962" s="40">
        <v>2.4</v>
      </c>
      <c r="E962" s="40"/>
      <c r="F962" s="40">
        <v>0.8</v>
      </c>
      <c r="G962" s="40"/>
      <c r="H962" s="40">
        <f>+F962*D962</f>
        <v>1.92</v>
      </c>
      <c r="I962" s="40"/>
      <c r="J962" s="40">
        <f>+H962</f>
        <v>1.92</v>
      </c>
      <c r="K962" s="40">
        <f>+J962*C962</f>
        <v>1.92</v>
      </c>
      <c r="L962" s="40"/>
      <c r="M962" s="59"/>
      <c r="N962" s="97"/>
      <c r="O962" s="32"/>
      <c r="P962" s="85"/>
      <c r="Q962" s="126"/>
      <c r="R962" s="126"/>
      <c r="S962" s="126"/>
      <c r="T962" s="85"/>
      <c r="U962" s="85"/>
      <c r="V962" s="85"/>
      <c r="W962" s="85"/>
    </row>
    <row r="963" spans="1:23" s="33" customFormat="1" ht="13.8" x14ac:dyDescent="0.25">
      <c r="A963" s="42"/>
      <c r="B963" s="35" t="s">
        <v>200</v>
      </c>
      <c r="C963" s="40">
        <v>1</v>
      </c>
      <c r="D963" s="40">
        <f>3.8+1.8</f>
        <v>5.6</v>
      </c>
      <c r="E963" s="40"/>
      <c r="F963" s="40">
        <v>0.8</v>
      </c>
      <c r="G963" s="40"/>
      <c r="H963" s="40">
        <f>+F963*D963</f>
        <v>4.4799999999999995</v>
      </c>
      <c r="I963" s="40"/>
      <c r="J963" s="40">
        <f>+H963</f>
        <v>4.4799999999999995</v>
      </c>
      <c r="K963" s="40">
        <f>+J963*C963</f>
        <v>4.4799999999999995</v>
      </c>
      <c r="L963" s="40"/>
      <c r="M963" s="59"/>
      <c r="N963" s="97"/>
      <c r="O963" s="32"/>
      <c r="P963" s="85"/>
      <c r="Q963" s="126"/>
      <c r="R963" s="126"/>
      <c r="S963" s="126"/>
      <c r="T963" s="85"/>
      <c r="U963" s="85"/>
      <c r="V963" s="85"/>
      <c r="W963" s="85"/>
    </row>
    <row r="964" spans="1:23" s="33" customFormat="1" ht="13.8" x14ac:dyDescent="0.25">
      <c r="A964" s="42"/>
      <c r="B964" s="35" t="s">
        <v>460</v>
      </c>
      <c r="C964" s="40">
        <v>1</v>
      </c>
      <c r="D964" s="40">
        <v>2.5499999999999998</v>
      </c>
      <c r="E964" s="40"/>
      <c r="F964" s="40">
        <v>0.8</v>
      </c>
      <c r="G964" s="40"/>
      <c r="H964" s="40">
        <f>+F964*D964</f>
        <v>2.04</v>
      </c>
      <c r="I964" s="40"/>
      <c r="J964" s="40">
        <f>+H964</f>
        <v>2.04</v>
      </c>
      <c r="K964" s="40">
        <f>+J964*C964</f>
        <v>2.04</v>
      </c>
      <c r="L964" s="40"/>
      <c r="M964" s="59"/>
      <c r="N964" s="97"/>
      <c r="O964" s="32"/>
      <c r="P964" s="85"/>
      <c r="Q964" s="126"/>
      <c r="R964" s="126"/>
      <c r="S964" s="126"/>
      <c r="T964" s="85"/>
      <c r="U964" s="85"/>
      <c r="V964" s="85"/>
      <c r="W964" s="85"/>
    </row>
    <row r="965" spans="1:23" s="33" customFormat="1" ht="13.8" x14ac:dyDescent="0.25">
      <c r="A965" s="42"/>
      <c r="B965" s="35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59"/>
      <c r="N965" s="97"/>
      <c r="O965" s="32"/>
      <c r="P965" s="85"/>
      <c r="Q965" s="126"/>
      <c r="R965" s="126"/>
      <c r="S965" s="126"/>
      <c r="T965" s="85"/>
      <c r="U965" s="85"/>
      <c r="V965" s="85"/>
      <c r="W965" s="85"/>
    </row>
    <row r="966" spans="1:23" s="33" customFormat="1" ht="13.8" x14ac:dyDescent="0.25">
      <c r="A966" s="42"/>
      <c r="B966" s="61" t="s">
        <v>107</v>
      </c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59"/>
      <c r="N966" s="97"/>
      <c r="O966" s="32"/>
      <c r="P966" s="85"/>
      <c r="Q966" s="126"/>
      <c r="R966" s="126"/>
      <c r="S966" s="126"/>
      <c r="T966" s="85"/>
      <c r="U966" s="85"/>
      <c r="V966" s="85"/>
      <c r="W966" s="85"/>
    </row>
    <row r="967" spans="1:23" s="33" customFormat="1" ht="13.8" x14ac:dyDescent="0.25">
      <c r="A967" s="42"/>
      <c r="B967" s="35" t="s">
        <v>201</v>
      </c>
      <c r="C967" s="40">
        <v>1</v>
      </c>
      <c r="D967" s="40">
        <v>4.5999999999999996</v>
      </c>
      <c r="E967" s="40"/>
      <c r="F967" s="40">
        <v>3</v>
      </c>
      <c r="G967" s="40"/>
      <c r="H967" s="40">
        <f t="shared" ref="H967:H974" si="276">+F967*D967</f>
        <v>13.799999999999999</v>
      </c>
      <c r="I967" s="40"/>
      <c r="J967" s="40">
        <f t="shared" ref="J967:J974" si="277">+H967</f>
        <v>13.799999999999999</v>
      </c>
      <c r="K967" s="40">
        <f t="shared" ref="K967:K974" si="278">+J967*C967</f>
        <v>13.799999999999999</v>
      </c>
      <c r="L967" s="40"/>
      <c r="M967" s="59"/>
      <c r="N967" s="97"/>
      <c r="O967" s="32"/>
      <c r="P967" s="85"/>
      <c r="Q967" s="126"/>
      <c r="R967" s="126"/>
      <c r="S967" s="126"/>
      <c r="T967" s="85"/>
      <c r="U967" s="85"/>
      <c r="V967" s="85"/>
      <c r="W967" s="85"/>
    </row>
    <row r="968" spans="1:23" s="33" customFormat="1" ht="13.8" x14ac:dyDescent="0.25">
      <c r="A968" s="42"/>
      <c r="B968" s="35" t="s">
        <v>589</v>
      </c>
      <c r="C968" s="40">
        <v>1</v>
      </c>
      <c r="D968" s="40">
        <v>5.9</v>
      </c>
      <c r="E968" s="40"/>
      <c r="F968" s="40">
        <v>0.8</v>
      </c>
      <c r="G968" s="40"/>
      <c r="H968" s="40">
        <f t="shared" si="276"/>
        <v>4.7200000000000006</v>
      </c>
      <c r="I968" s="40"/>
      <c r="J968" s="40">
        <f t="shared" si="277"/>
        <v>4.7200000000000006</v>
      </c>
      <c r="K968" s="40">
        <f t="shared" si="278"/>
        <v>4.7200000000000006</v>
      </c>
      <c r="L968" s="40"/>
      <c r="M968" s="59"/>
      <c r="N968" s="97"/>
      <c r="O968" s="32"/>
      <c r="P968" s="85"/>
      <c r="Q968" s="126"/>
      <c r="R968" s="126"/>
      <c r="S968" s="126"/>
      <c r="T968" s="85"/>
      <c r="U968" s="85"/>
      <c r="V968" s="85"/>
      <c r="W968" s="85"/>
    </row>
    <row r="969" spans="1:23" s="33" customFormat="1" ht="13.8" x14ac:dyDescent="0.25">
      <c r="A969" s="42"/>
      <c r="B969" s="35" t="s">
        <v>588</v>
      </c>
      <c r="C969" s="40">
        <v>1</v>
      </c>
      <c r="D969" s="40">
        <v>8.8000000000000007</v>
      </c>
      <c r="E969" s="40"/>
      <c r="F969" s="40">
        <v>0.8</v>
      </c>
      <c r="G969" s="40"/>
      <c r="H969" s="40">
        <f t="shared" si="276"/>
        <v>7.0400000000000009</v>
      </c>
      <c r="I969" s="40"/>
      <c r="J969" s="40">
        <f t="shared" si="277"/>
        <v>7.0400000000000009</v>
      </c>
      <c r="K969" s="40">
        <f t="shared" si="278"/>
        <v>7.0400000000000009</v>
      </c>
      <c r="L969" s="40"/>
      <c r="M969" s="59"/>
      <c r="N969" s="97"/>
      <c r="O969" s="32"/>
      <c r="P969" s="85"/>
      <c r="Q969" s="126"/>
      <c r="R969" s="126"/>
      <c r="S969" s="126"/>
      <c r="T969" s="85"/>
      <c r="U969" s="85"/>
      <c r="V969" s="85"/>
      <c r="W969" s="85"/>
    </row>
    <row r="970" spans="1:23" s="33" customFormat="1" ht="13.8" x14ac:dyDescent="0.25">
      <c r="A970" s="42"/>
      <c r="B970" s="35"/>
      <c r="C970" s="40">
        <v>1</v>
      </c>
      <c r="D970" s="40"/>
      <c r="E970" s="40"/>
      <c r="F970" s="40">
        <v>3</v>
      </c>
      <c r="G970" s="40"/>
      <c r="H970" s="40">
        <f t="shared" si="276"/>
        <v>0</v>
      </c>
      <c r="I970" s="40"/>
      <c r="J970" s="40">
        <f t="shared" si="277"/>
        <v>0</v>
      </c>
      <c r="K970" s="40">
        <f t="shared" si="278"/>
        <v>0</v>
      </c>
      <c r="L970" s="40"/>
      <c r="M970" s="59"/>
      <c r="N970" s="97"/>
      <c r="O970" s="32"/>
      <c r="P970" s="85"/>
      <c r="Q970" s="126"/>
      <c r="R970" s="126"/>
      <c r="S970" s="126"/>
      <c r="T970" s="85"/>
      <c r="U970" s="85"/>
      <c r="V970" s="85"/>
      <c r="W970" s="85"/>
    </row>
    <row r="971" spans="1:23" s="33" customFormat="1" ht="13.8" x14ac:dyDescent="0.25">
      <c r="A971" s="42"/>
      <c r="B971" s="35"/>
      <c r="C971" s="40">
        <v>1</v>
      </c>
      <c r="D971" s="40"/>
      <c r="E971" s="40"/>
      <c r="F971" s="40">
        <v>3</v>
      </c>
      <c r="G971" s="40"/>
      <c r="H971" s="40">
        <f t="shared" si="276"/>
        <v>0</v>
      </c>
      <c r="I971" s="40"/>
      <c r="J971" s="40">
        <f t="shared" si="277"/>
        <v>0</v>
      </c>
      <c r="K971" s="40">
        <f t="shared" si="278"/>
        <v>0</v>
      </c>
      <c r="L971" s="40"/>
      <c r="M971" s="59"/>
      <c r="N971" s="97"/>
      <c r="O971" s="32"/>
      <c r="P971" s="85"/>
      <c r="Q971" s="126"/>
      <c r="R971" s="126"/>
      <c r="S971" s="126"/>
      <c r="T971" s="85"/>
      <c r="U971" s="85"/>
      <c r="V971" s="85"/>
      <c r="W971" s="85"/>
    </row>
    <row r="972" spans="1:23" s="33" customFormat="1" ht="13.8" x14ac:dyDescent="0.25">
      <c r="A972" s="42"/>
      <c r="B972" s="35"/>
      <c r="C972" s="40">
        <v>1</v>
      </c>
      <c r="D972" s="40"/>
      <c r="E972" s="40"/>
      <c r="F972" s="40">
        <v>3</v>
      </c>
      <c r="G972" s="40"/>
      <c r="H972" s="40">
        <f t="shared" si="276"/>
        <v>0</v>
      </c>
      <c r="I972" s="40"/>
      <c r="J972" s="40">
        <f t="shared" si="277"/>
        <v>0</v>
      </c>
      <c r="K972" s="40">
        <f t="shared" si="278"/>
        <v>0</v>
      </c>
      <c r="L972" s="40"/>
      <c r="M972" s="59"/>
      <c r="N972" s="97"/>
      <c r="O972" s="32"/>
      <c r="P972" s="85"/>
      <c r="Q972" s="126"/>
      <c r="R972" s="126"/>
      <c r="S972" s="126"/>
      <c r="T972" s="85"/>
      <c r="U972" s="85"/>
      <c r="V972" s="85"/>
      <c r="W972" s="85"/>
    </row>
    <row r="973" spans="1:23" s="33" customFormat="1" ht="13.8" x14ac:dyDescent="0.25">
      <c r="A973" s="42"/>
      <c r="B973" s="35"/>
      <c r="C973" s="40"/>
      <c r="D973" s="40"/>
      <c r="E973" s="40"/>
      <c r="F973" s="40"/>
      <c r="G973" s="40"/>
      <c r="H973" s="40">
        <f t="shared" si="276"/>
        <v>0</v>
      </c>
      <c r="I973" s="40"/>
      <c r="J973" s="40">
        <f t="shared" si="277"/>
        <v>0</v>
      </c>
      <c r="K973" s="40">
        <f t="shared" si="278"/>
        <v>0</v>
      </c>
      <c r="L973" s="40"/>
      <c r="M973" s="59"/>
      <c r="N973" s="97"/>
      <c r="O973" s="32"/>
      <c r="P973" s="85"/>
      <c r="Q973" s="126"/>
      <c r="R973" s="126"/>
      <c r="S973" s="126"/>
      <c r="T973" s="85"/>
      <c r="U973" s="85"/>
      <c r="V973" s="85"/>
      <c r="W973" s="85"/>
    </row>
    <row r="974" spans="1:23" s="33" customFormat="1" ht="13.8" x14ac:dyDescent="0.25">
      <c r="A974" s="42"/>
      <c r="B974" s="61" t="s">
        <v>204</v>
      </c>
      <c r="C974" s="40"/>
      <c r="D974" s="40"/>
      <c r="E974" s="40"/>
      <c r="F974" s="40"/>
      <c r="G974" s="40"/>
      <c r="H974" s="40">
        <f t="shared" si="276"/>
        <v>0</v>
      </c>
      <c r="I974" s="40"/>
      <c r="J974" s="40">
        <f t="shared" si="277"/>
        <v>0</v>
      </c>
      <c r="K974" s="40">
        <f t="shared" si="278"/>
        <v>0</v>
      </c>
      <c r="L974" s="40"/>
      <c r="M974" s="59"/>
      <c r="N974" s="97"/>
      <c r="O974" s="32"/>
      <c r="P974" s="85"/>
      <c r="Q974" s="126"/>
      <c r="R974" s="126"/>
      <c r="S974" s="126"/>
      <c r="T974" s="85"/>
      <c r="U974" s="85"/>
      <c r="V974" s="85"/>
      <c r="W974" s="85"/>
    </row>
    <row r="975" spans="1:23" s="33" customFormat="1" ht="13.8" x14ac:dyDescent="0.25">
      <c r="A975" s="42"/>
      <c r="B975" s="35" t="s">
        <v>594</v>
      </c>
      <c r="C975" s="40">
        <v>1</v>
      </c>
      <c r="D975" s="40">
        <v>4.5999999999999996</v>
      </c>
      <c r="E975" s="40"/>
      <c r="F975" s="40">
        <v>3</v>
      </c>
      <c r="G975" s="40"/>
      <c r="H975" s="40">
        <f t="shared" ref="H975" si="279">+F975*D975</f>
        <v>13.799999999999999</v>
      </c>
      <c r="I975" s="40"/>
      <c r="J975" s="40">
        <f t="shared" ref="J975" si="280">+H975</f>
        <v>13.799999999999999</v>
      </c>
      <c r="K975" s="40">
        <f t="shared" ref="K975" si="281">+J975*C975</f>
        <v>13.799999999999999</v>
      </c>
      <c r="L975" s="40"/>
      <c r="M975" s="59"/>
      <c r="N975" s="97"/>
      <c r="O975" s="32"/>
      <c r="P975" s="85"/>
      <c r="Q975" s="126"/>
      <c r="R975" s="126"/>
      <c r="S975" s="126"/>
      <c r="T975" s="85"/>
      <c r="U975" s="85"/>
      <c r="V975" s="85"/>
      <c r="W975" s="85"/>
    </row>
    <row r="976" spans="1:23" s="33" customFormat="1" ht="13.8" x14ac:dyDescent="0.25">
      <c r="A976" s="42"/>
      <c r="B976" s="35" t="s">
        <v>594</v>
      </c>
      <c r="C976" s="40">
        <v>1</v>
      </c>
      <c r="D976" s="40">
        <f>2.4+1.8+3.8</f>
        <v>8</v>
      </c>
      <c r="E976" s="40"/>
      <c r="F976" s="40">
        <v>0.8</v>
      </c>
      <c r="G976" s="40"/>
      <c r="H976" s="40">
        <f t="shared" ref="H976" si="282">+F976*D976</f>
        <v>6.4</v>
      </c>
      <c r="I976" s="40"/>
      <c r="J976" s="40">
        <f t="shared" ref="J976" si="283">+H976</f>
        <v>6.4</v>
      </c>
      <c r="K976" s="40">
        <f t="shared" ref="K976" si="284">+J976*C976</f>
        <v>6.4</v>
      </c>
      <c r="L976" s="40"/>
      <c r="M976" s="59"/>
      <c r="N976" s="97"/>
      <c r="O976" s="32"/>
      <c r="P976" s="85"/>
      <c r="Q976" s="126"/>
      <c r="R976" s="126"/>
      <c r="S976" s="126"/>
      <c r="T976" s="85"/>
      <c r="U976" s="85"/>
      <c r="V976" s="85"/>
      <c r="W976" s="85"/>
    </row>
    <row r="977" spans="1:23" s="33" customFormat="1" ht="13.8" x14ac:dyDescent="0.25">
      <c r="A977" s="42"/>
      <c r="B977" s="35" t="s">
        <v>646</v>
      </c>
      <c r="C977" s="40">
        <v>1</v>
      </c>
      <c r="D977" s="40">
        <v>3.8</v>
      </c>
      <c r="E977" s="40"/>
      <c r="F977" s="40">
        <v>0.8</v>
      </c>
      <c r="G977" s="40"/>
      <c r="H977" s="40">
        <f t="shared" ref="H977" si="285">+F977*D977</f>
        <v>3.04</v>
      </c>
      <c r="I977" s="40"/>
      <c r="J977" s="40">
        <f t="shared" ref="J977" si="286">+H977</f>
        <v>3.04</v>
      </c>
      <c r="K977" s="40">
        <f t="shared" ref="K977" si="287">+J977*C977</f>
        <v>3.04</v>
      </c>
      <c r="L977" s="40"/>
      <c r="M977" s="59"/>
      <c r="N977" s="97"/>
      <c r="O977" s="32"/>
      <c r="P977" s="85"/>
      <c r="Q977" s="126"/>
      <c r="R977" s="126"/>
      <c r="S977" s="126"/>
      <c r="T977" s="85"/>
      <c r="U977" s="85"/>
      <c r="V977" s="85"/>
      <c r="W977" s="85"/>
    </row>
    <row r="978" spans="1:23" s="33" customFormat="1" ht="13.8" x14ac:dyDescent="0.25">
      <c r="A978" s="42"/>
      <c r="B978" s="35" t="s">
        <v>647</v>
      </c>
      <c r="C978" s="40">
        <v>1</v>
      </c>
      <c r="D978" s="40">
        <f>3.4+1.1</f>
        <v>4.5</v>
      </c>
      <c r="E978" s="40"/>
      <c r="F978" s="40">
        <v>0.8</v>
      </c>
      <c r="G978" s="40"/>
      <c r="H978" s="40">
        <f t="shared" ref="H978" si="288">+F978*D978</f>
        <v>3.6</v>
      </c>
      <c r="I978" s="40"/>
      <c r="J978" s="40">
        <f t="shared" ref="J978" si="289">+H978</f>
        <v>3.6</v>
      </c>
      <c r="K978" s="40">
        <f t="shared" ref="K978" si="290">+J978*C978</f>
        <v>3.6</v>
      </c>
      <c r="L978" s="40"/>
      <c r="M978" s="59"/>
      <c r="N978" s="97"/>
      <c r="O978" s="32"/>
      <c r="P978" s="85"/>
      <c r="Q978" s="126"/>
      <c r="R978" s="126"/>
      <c r="S978" s="126"/>
      <c r="T978" s="85"/>
      <c r="U978" s="85"/>
      <c r="V978" s="85"/>
      <c r="W978" s="85"/>
    </row>
    <row r="979" spans="1:23" s="33" customFormat="1" ht="13.8" x14ac:dyDescent="0.25">
      <c r="A979" s="42"/>
      <c r="B979" s="35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59"/>
      <c r="N979" s="97"/>
      <c r="O979" s="32"/>
      <c r="P979" s="85"/>
      <c r="Q979" s="126"/>
      <c r="R979" s="126"/>
      <c r="S979" s="126"/>
      <c r="T979" s="85"/>
      <c r="U979" s="85"/>
      <c r="V979" s="85"/>
      <c r="W979" s="85"/>
    </row>
    <row r="980" spans="1:23" s="33" customFormat="1" ht="13.8" x14ac:dyDescent="0.25">
      <c r="A980" s="42"/>
      <c r="B980" s="163" t="s">
        <v>642</v>
      </c>
      <c r="C980" s="40"/>
      <c r="D980" s="40"/>
      <c r="E980" s="40"/>
      <c r="F980" s="40"/>
      <c r="G980" s="40"/>
      <c r="H980" s="40"/>
      <c r="I980" s="40"/>
      <c r="J980" s="40"/>
      <c r="K980" s="40">
        <f>+SUM(K982:K992)</f>
        <v>30.29</v>
      </c>
      <c r="L980" s="40">
        <v>1</v>
      </c>
      <c r="M980" s="59">
        <f>+K980*L980</f>
        <v>30.29</v>
      </c>
      <c r="N980" s="97" t="s">
        <v>7</v>
      </c>
      <c r="O980" s="32"/>
      <c r="P980" s="85"/>
      <c r="Q980" s="126"/>
      <c r="R980" s="126"/>
      <c r="S980" s="126"/>
      <c r="T980" s="85"/>
      <c r="U980" s="85"/>
      <c r="V980" s="85"/>
      <c r="W980" s="85"/>
    </row>
    <row r="981" spans="1:23" s="33" customFormat="1" ht="13.8" x14ac:dyDescent="0.25">
      <c r="A981" s="42"/>
      <c r="B981" s="61" t="s">
        <v>106</v>
      </c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59"/>
      <c r="N981" s="97"/>
      <c r="O981" s="32"/>
      <c r="P981" s="85"/>
      <c r="Q981" s="126"/>
      <c r="R981" s="126"/>
      <c r="S981" s="126"/>
      <c r="T981" s="85"/>
      <c r="U981" s="85"/>
      <c r="V981" s="85"/>
      <c r="W981" s="85"/>
    </row>
    <row r="982" spans="1:23" s="33" customFormat="1" ht="13.8" x14ac:dyDescent="0.25">
      <c r="A982" s="42"/>
      <c r="B982" s="35" t="s">
        <v>292</v>
      </c>
      <c r="C982" s="40">
        <v>1</v>
      </c>
      <c r="D982" s="40">
        <v>1.85</v>
      </c>
      <c r="E982" s="40"/>
      <c r="F982" s="40">
        <v>2.6</v>
      </c>
      <c r="G982" s="40"/>
      <c r="H982" s="40">
        <f>+F982*D982</f>
        <v>4.8100000000000005</v>
      </c>
      <c r="I982" s="40"/>
      <c r="J982" s="40">
        <f>+H982</f>
        <v>4.8100000000000005</v>
      </c>
      <c r="K982" s="40">
        <f>+J982*C982</f>
        <v>4.8100000000000005</v>
      </c>
      <c r="L982" s="40"/>
      <c r="M982" s="59"/>
      <c r="N982" s="97"/>
      <c r="O982" s="32"/>
      <c r="P982" s="85"/>
      <c r="Q982" s="126"/>
      <c r="R982" s="126"/>
      <c r="S982" s="126"/>
      <c r="T982" s="85"/>
      <c r="U982" s="85"/>
      <c r="V982" s="85"/>
      <c r="W982" s="85"/>
    </row>
    <row r="983" spans="1:23" s="33" customFormat="1" ht="13.8" x14ac:dyDescent="0.25">
      <c r="A983" s="42"/>
      <c r="B983" s="35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59"/>
      <c r="N983" s="97"/>
      <c r="O983" s="32"/>
      <c r="P983" s="85"/>
      <c r="Q983" s="126"/>
      <c r="R983" s="126"/>
      <c r="S983" s="126"/>
      <c r="T983" s="85"/>
      <c r="U983" s="85"/>
      <c r="V983" s="85"/>
      <c r="W983" s="85"/>
    </row>
    <row r="984" spans="1:23" s="33" customFormat="1" ht="13.8" x14ac:dyDescent="0.25">
      <c r="A984" s="42"/>
      <c r="B984" s="61" t="s">
        <v>107</v>
      </c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59"/>
      <c r="N984" s="97"/>
      <c r="O984" s="32"/>
      <c r="P984" s="85"/>
      <c r="Q984" s="126"/>
      <c r="R984" s="126"/>
      <c r="S984" s="126"/>
      <c r="T984" s="85"/>
      <c r="U984" s="85"/>
      <c r="V984" s="85"/>
      <c r="W984" s="85"/>
    </row>
    <row r="985" spans="1:23" s="33" customFormat="1" ht="13.8" x14ac:dyDescent="0.25">
      <c r="A985" s="42"/>
      <c r="B985" s="35" t="s">
        <v>607</v>
      </c>
      <c r="C985" s="40">
        <v>1</v>
      </c>
      <c r="D985" s="40">
        <v>1.85</v>
      </c>
      <c r="E985" s="40"/>
      <c r="F985" s="40">
        <v>2.6</v>
      </c>
      <c r="G985" s="40"/>
      <c r="H985" s="40">
        <f>+F985*D985</f>
        <v>4.8100000000000005</v>
      </c>
      <c r="I985" s="40"/>
      <c r="J985" s="40">
        <f>+H985</f>
        <v>4.8100000000000005</v>
      </c>
      <c r="K985" s="40">
        <f>+J985*C985</f>
        <v>4.8100000000000005</v>
      </c>
      <c r="L985" s="40"/>
      <c r="M985" s="59"/>
      <c r="N985" s="97"/>
      <c r="O985" s="32"/>
      <c r="P985" s="85"/>
      <c r="Q985" s="126"/>
      <c r="R985" s="126"/>
      <c r="S985" s="126"/>
      <c r="T985" s="85"/>
      <c r="U985" s="85"/>
      <c r="V985" s="85"/>
      <c r="W985" s="85"/>
    </row>
    <row r="986" spans="1:23" s="33" customFormat="1" ht="13.8" x14ac:dyDescent="0.25">
      <c r="A986" s="42"/>
      <c r="B986" s="35" t="s">
        <v>134</v>
      </c>
      <c r="C986" s="40">
        <v>1</v>
      </c>
      <c r="D986" s="40">
        <v>2.1</v>
      </c>
      <c r="E986" s="40"/>
      <c r="F986" s="40">
        <v>2.6</v>
      </c>
      <c r="G986" s="40"/>
      <c r="H986" s="40">
        <f>+F986*D986</f>
        <v>5.4600000000000009</v>
      </c>
      <c r="I986" s="40"/>
      <c r="J986" s="40">
        <f>+H986</f>
        <v>5.4600000000000009</v>
      </c>
      <c r="K986" s="40">
        <f>+J986*C986</f>
        <v>5.4600000000000009</v>
      </c>
      <c r="L986" s="40"/>
      <c r="M986" s="59"/>
      <c r="N986" s="97"/>
      <c r="O986" s="32"/>
      <c r="P986" s="85"/>
      <c r="Q986" s="126"/>
      <c r="R986" s="126"/>
      <c r="S986" s="126"/>
      <c r="T986" s="85"/>
      <c r="U986" s="85"/>
      <c r="V986" s="85"/>
      <c r="W986" s="85"/>
    </row>
    <row r="987" spans="1:23" s="33" customFormat="1" ht="13.8" x14ac:dyDescent="0.25">
      <c r="A987" s="42"/>
      <c r="B987" s="35"/>
      <c r="C987" s="40"/>
      <c r="D987" s="40"/>
      <c r="E987" s="40"/>
      <c r="F987" s="40"/>
      <c r="G987" s="40"/>
      <c r="H987" s="40">
        <f t="shared" ref="H987:H988" si="291">+F987*D987</f>
        <v>0</v>
      </c>
      <c r="I987" s="40"/>
      <c r="J987" s="40">
        <f t="shared" ref="J987:J988" si="292">+H987</f>
        <v>0</v>
      </c>
      <c r="K987" s="40">
        <f t="shared" ref="K987:K988" si="293">+J987*C987</f>
        <v>0</v>
      </c>
      <c r="L987" s="40"/>
      <c r="M987" s="59"/>
      <c r="N987" s="97"/>
      <c r="O987" s="32"/>
      <c r="P987" s="85"/>
      <c r="Q987" s="126"/>
      <c r="R987" s="126"/>
      <c r="S987" s="126"/>
      <c r="T987" s="85"/>
      <c r="U987" s="85"/>
      <c r="V987" s="85"/>
      <c r="W987" s="85"/>
    </row>
    <row r="988" spans="1:23" s="33" customFormat="1" ht="13.8" x14ac:dyDescent="0.25">
      <c r="A988" s="42"/>
      <c r="B988" s="61" t="s">
        <v>204</v>
      </c>
      <c r="C988" s="40"/>
      <c r="D988" s="40"/>
      <c r="E988" s="40"/>
      <c r="F988" s="40"/>
      <c r="G988" s="40"/>
      <c r="H988" s="40">
        <f t="shared" si="291"/>
        <v>0</v>
      </c>
      <c r="I988" s="40"/>
      <c r="J988" s="40">
        <f t="shared" si="292"/>
        <v>0</v>
      </c>
      <c r="K988" s="40">
        <f t="shared" si="293"/>
        <v>0</v>
      </c>
      <c r="L988" s="40"/>
      <c r="M988" s="59"/>
      <c r="N988" s="97"/>
      <c r="O988" s="32"/>
      <c r="P988" s="85"/>
      <c r="Q988" s="126"/>
      <c r="R988" s="126"/>
      <c r="S988" s="126"/>
      <c r="T988" s="85"/>
      <c r="U988" s="85"/>
      <c r="V988" s="85"/>
      <c r="W988" s="85"/>
    </row>
    <row r="989" spans="1:23" s="33" customFormat="1" ht="13.8" x14ac:dyDescent="0.25">
      <c r="A989" s="42"/>
      <c r="B989" s="35" t="s">
        <v>591</v>
      </c>
      <c r="C989" s="40">
        <v>1</v>
      </c>
      <c r="D989" s="40">
        <v>1.85</v>
      </c>
      <c r="E989" s="40"/>
      <c r="F989" s="40">
        <v>2.6</v>
      </c>
      <c r="G989" s="40"/>
      <c r="H989" s="40">
        <f>+F989*D989</f>
        <v>4.8100000000000005</v>
      </c>
      <c r="I989" s="40"/>
      <c r="J989" s="40">
        <f>+H989</f>
        <v>4.8100000000000005</v>
      </c>
      <c r="K989" s="40">
        <f>+J989*C989</f>
        <v>4.8100000000000005</v>
      </c>
      <c r="L989" s="40"/>
      <c r="M989" s="59"/>
      <c r="N989" s="97"/>
      <c r="O989" s="32"/>
      <c r="P989" s="85"/>
      <c r="Q989" s="126"/>
      <c r="R989" s="126"/>
      <c r="S989" s="126"/>
      <c r="T989" s="85"/>
      <c r="U989" s="85"/>
      <c r="V989" s="85"/>
      <c r="W989" s="85"/>
    </row>
    <row r="990" spans="1:23" s="33" customFormat="1" ht="13.8" x14ac:dyDescent="0.25">
      <c r="A990" s="42"/>
      <c r="B990" s="35" t="s">
        <v>134</v>
      </c>
      <c r="C990" s="40">
        <v>1</v>
      </c>
      <c r="D990" s="40">
        <v>2.1</v>
      </c>
      <c r="E990" s="40"/>
      <c r="F990" s="40">
        <v>2.6</v>
      </c>
      <c r="G990" s="40"/>
      <c r="H990" s="40">
        <f>+F990*D990</f>
        <v>5.4600000000000009</v>
      </c>
      <c r="I990" s="40"/>
      <c r="J990" s="40">
        <f>+H990</f>
        <v>5.4600000000000009</v>
      </c>
      <c r="K990" s="40">
        <f>+J990*C990</f>
        <v>5.4600000000000009</v>
      </c>
      <c r="L990" s="40"/>
      <c r="M990" s="59"/>
      <c r="N990" s="97"/>
      <c r="O990" s="32"/>
      <c r="P990" s="85"/>
      <c r="Q990" s="126"/>
      <c r="R990" s="126"/>
      <c r="S990" s="126"/>
      <c r="T990" s="85"/>
      <c r="U990" s="85"/>
      <c r="V990" s="85"/>
      <c r="W990" s="85"/>
    </row>
    <row r="991" spans="1:23" s="33" customFormat="1" ht="13.8" x14ac:dyDescent="0.25">
      <c r="A991" s="42"/>
      <c r="B991" s="61" t="s">
        <v>205</v>
      </c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59"/>
      <c r="N991" s="97"/>
      <c r="O991" s="32"/>
      <c r="P991" s="85"/>
      <c r="Q991" s="126"/>
      <c r="R991" s="126"/>
      <c r="S991" s="126"/>
      <c r="T991" s="85"/>
      <c r="U991" s="85"/>
      <c r="V991" s="85"/>
      <c r="W991" s="85"/>
    </row>
    <row r="992" spans="1:23" s="33" customFormat="1" ht="13.8" x14ac:dyDescent="0.25">
      <c r="A992" s="42"/>
      <c r="B992" s="35" t="s">
        <v>648</v>
      </c>
      <c r="C992" s="40">
        <v>1</v>
      </c>
      <c r="D992" s="40">
        <v>1.9</v>
      </c>
      <c r="E992" s="40"/>
      <c r="F992" s="40">
        <v>2.6</v>
      </c>
      <c r="G992" s="40"/>
      <c r="H992" s="40">
        <f>+F992*D992</f>
        <v>4.9399999999999995</v>
      </c>
      <c r="I992" s="40"/>
      <c r="J992" s="40">
        <f>+H992</f>
        <v>4.9399999999999995</v>
      </c>
      <c r="K992" s="40">
        <f>+J992*C992</f>
        <v>4.9399999999999995</v>
      </c>
      <c r="L992" s="40"/>
      <c r="M992" s="59"/>
      <c r="N992" s="97"/>
      <c r="O992" s="32"/>
      <c r="P992" s="85"/>
      <c r="Q992" s="126"/>
      <c r="R992" s="126"/>
      <c r="S992" s="126"/>
      <c r="T992" s="85"/>
      <c r="U992" s="85"/>
      <c r="V992" s="85"/>
      <c r="W992" s="85"/>
    </row>
    <row r="993" spans="1:23" s="33" customFormat="1" ht="13.8" x14ac:dyDescent="0.25">
      <c r="A993" s="42"/>
      <c r="B993" s="35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201"/>
      <c r="N993" s="159"/>
      <c r="O993" s="32"/>
      <c r="P993" s="85"/>
      <c r="Q993" s="126"/>
      <c r="R993" s="126"/>
      <c r="S993" s="126"/>
      <c r="T993" s="85"/>
      <c r="U993" s="85"/>
      <c r="V993" s="85"/>
      <c r="W993" s="85"/>
    </row>
    <row r="994" spans="1:23" s="33" customFormat="1" ht="13.8" x14ac:dyDescent="0.25">
      <c r="A994" s="42"/>
      <c r="B994" s="35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201"/>
      <c r="N994" s="159"/>
      <c r="O994" s="32"/>
      <c r="P994" s="85"/>
      <c r="Q994" s="126"/>
      <c r="R994" s="126"/>
      <c r="S994" s="126"/>
      <c r="T994" s="85"/>
      <c r="U994" s="85"/>
      <c r="V994" s="85"/>
      <c r="W994" s="85"/>
    </row>
    <row r="995" spans="1:23" s="33" customFormat="1" ht="18" customHeight="1" x14ac:dyDescent="0.25">
      <c r="A995" s="28" t="s">
        <v>38</v>
      </c>
      <c r="B995" s="29" t="s">
        <v>42</v>
      </c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O995" s="32"/>
      <c r="P995" s="85"/>
      <c r="Q995" s="126"/>
      <c r="R995" s="126"/>
      <c r="S995" s="126"/>
      <c r="T995" s="85"/>
      <c r="U995" s="85"/>
      <c r="V995" s="85"/>
      <c r="W995" s="85"/>
    </row>
    <row r="996" spans="1:23" s="33" customFormat="1" ht="18" customHeight="1" x14ac:dyDescent="0.25">
      <c r="A996" s="28"/>
      <c r="B996" s="188" t="s">
        <v>352</v>
      </c>
      <c r="C996" s="40"/>
      <c r="D996" s="40"/>
      <c r="E996" s="40"/>
      <c r="F996" s="40"/>
      <c r="G996" s="40"/>
      <c r="H996" s="40"/>
      <c r="I996" s="40"/>
      <c r="J996" s="40"/>
      <c r="K996" s="131">
        <f>+K997</f>
        <v>3.97</v>
      </c>
      <c r="L996" s="40">
        <v>1</v>
      </c>
      <c r="M996" s="59">
        <f>+L996*K996</f>
        <v>3.97</v>
      </c>
      <c r="N996" s="59" t="s">
        <v>6</v>
      </c>
      <c r="O996" s="32"/>
      <c r="P996" s="85"/>
      <c r="Q996" s="126"/>
      <c r="R996" s="126"/>
      <c r="S996" s="126"/>
      <c r="T996" s="85"/>
      <c r="U996" s="85"/>
      <c r="V996" s="85"/>
      <c r="W996" s="85"/>
    </row>
    <row r="997" spans="1:23" s="33" customFormat="1" ht="18" customHeight="1" x14ac:dyDescent="0.25">
      <c r="A997" s="28"/>
      <c r="B997" s="61" t="s">
        <v>361</v>
      </c>
      <c r="C997" s="40">
        <v>1</v>
      </c>
      <c r="D997" s="40">
        <v>3.6</v>
      </c>
      <c r="E997" s="40"/>
      <c r="F997" s="40"/>
      <c r="G997" s="40"/>
      <c r="H997" s="40"/>
      <c r="I997" s="40"/>
      <c r="J997" s="40">
        <v>3.97</v>
      </c>
      <c r="K997" s="40">
        <f>+J997*C997</f>
        <v>3.97</v>
      </c>
      <c r="L997" s="40"/>
      <c r="M997" s="59"/>
      <c r="N997" s="62"/>
      <c r="O997" s="32"/>
      <c r="P997" s="85"/>
      <c r="Q997" s="126"/>
      <c r="R997" s="126"/>
      <c r="S997" s="126"/>
      <c r="T997" s="85"/>
      <c r="U997" s="85"/>
      <c r="V997" s="85"/>
      <c r="W997" s="85"/>
    </row>
    <row r="998" spans="1:23" s="33" customFormat="1" ht="18" customHeight="1" x14ac:dyDescent="0.25">
      <c r="A998" s="28"/>
      <c r="B998" s="35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59"/>
      <c r="N998" s="62"/>
      <c r="O998" s="32"/>
      <c r="P998" s="85"/>
      <c r="Q998" s="126"/>
      <c r="R998" s="126"/>
      <c r="S998" s="126"/>
      <c r="T998" s="85"/>
      <c r="U998" s="85"/>
      <c r="V998" s="85"/>
      <c r="W998" s="85"/>
    </row>
    <row r="999" spans="1:23" s="33" customFormat="1" ht="18" customHeight="1" x14ac:dyDescent="0.25">
      <c r="A999" s="28"/>
      <c r="B999" s="188" t="s">
        <v>359</v>
      </c>
      <c r="C999" s="40"/>
      <c r="D999" s="40"/>
      <c r="E999" s="40"/>
      <c r="F999" s="40"/>
      <c r="G999" s="40"/>
      <c r="H999" s="40"/>
      <c r="I999" s="40"/>
      <c r="J999" s="40"/>
      <c r="K999" s="131">
        <f>+SUM(K1001:K1008)</f>
        <v>46.305</v>
      </c>
      <c r="L999" s="40">
        <v>1</v>
      </c>
      <c r="M999" s="59">
        <f>+L999*K999</f>
        <v>46.305</v>
      </c>
      <c r="N999" s="59" t="s">
        <v>6</v>
      </c>
      <c r="O999" s="32"/>
      <c r="P999" s="85"/>
      <c r="Q999" s="126"/>
      <c r="R999" s="126"/>
      <c r="S999" s="126"/>
      <c r="T999" s="85"/>
      <c r="U999" s="85"/>
      <c r="V999" s="85"/>
      <c r="W999" s="85"/>
    </row>
    <row r="1000" spans="1:23" s="33" customFormat="1" ht="18" customHeight="1" x14ac:dyDescent="0.25">
      <c r="A1000" s="28"/>
      <c r="B1000" s="61" t="s">
        <v>356</v>
      </c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59"/>
      <c r="N1000" s="62"/>
      <c r="O1000" s="32"/>
      <c r="P1000" s="85"/>
      <c r="Q1000" s="126"/>
      <c r="R1000" s="126"/>
      <c r="S1000" s="126"/>
      <c r="T1000" s="85"/>
      <c r="U1000" s="85"/>
      <c r="V1000" s="85"/>
      <c r="W1000" s="85"/>
    </row>
    <row r="1001" spans="1:23" s="33" customFormat="1" ht="18" customHeight="1" x14ac:dyDescent="0.25">
      <c r="A1001" s="28"/>
      <c r="B1001" s="35" t="s">
        <v>355</v>
      </c>
      <c r="C1001" s="40">
        <v>1</v>
      </c>
      <c r="D1001" s="40">
        <f>12.9*1.05</f>
        <v>13.545000000000002</v>
      </c>
      <c r="E1001" s="40"/>
      <c r="F1001" s="40"/>
      <c r="G1001" s="40"/>
      <c r="H1001" s="40"/>
      <c r="I1001" s="40"/>
      <c r="J1001" s="40">
        <f>+D1001</f>
        <v>13.545000000000002</v>
      </c>
      <c r="K1001" s="40">
        <f>+J1001*C1001</f>
        <v>13.545000000000002</v>
      </c>
      <c r="L1001" s="40"/>
      <c r="M1001" s="59"/>
      <c r="N1001" s="62"/>
      <c r="O1001" s="32"/>
      <c r="P1001" s="85"/>
      <c r="Q1001" s="126"/>
      <c r="R1001" s="126"/>
      <c r="S1001" s="126"/>
      <c r="T1001" s="85"/>
      <c r="U1001" s="85"/>
      <c r="V1001" s="85"/>
      <c r="W1001" s="85"/>
    </row>
    <row r="1002" spans="1:23" s="33" customFormat="1" ht="18" customHeight="1" x14ac:dyDescent="0.25">
      <c r="A1002" s="28"/>
      <c r="B1002" s="61" t="s">
        <v>356</v>
      </c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59"/>
      <c r="N1002" s="62"/>
      <c r="O1002" s="32"/>
      <c r="P1002" s="85"/>
      <c r="Q1002" s="126"/>
      <c r="R1002" s="126"/>
      <c r="S1002" s="126"/>
      <c r="T1002" s="85"/>
      <c r="U1002" s="85"/>
      <c r="V1002" s="85"/>
      <c r="W1002" s="85"/>
    </row>
    <row r="1003" spans="1:23" s="33" customFormat="1" ht="18" customHeight="1" x14ac:dyDescent="0.25">
      <c r="A1003" s="28"/>
      <c r="B1003" s="35" t="s">
        <v>355</v>
      </c>
      <c r="C1003" s="40">
        <v>1</v>
      </c>
      <c r="D1003" s="40">
        <f>12.9*1.05</f>
        <v>13.545000000000002</v>
      </c>
      <c r="E1003" s="40"/>
      <c r="F1003" s="40"/>
      <c r="G1003" s="40"/>
      <c r="H1003" s="40"/>
      <c r="I1003" s="40"/>
      <c r="J1003" s="40">
        <v>6.3</v>
      </c>
      <c r="K1003" s="40">
        <f>+J1003*C1003</f>
        <v>6.3</v>
      </c>
      <c r="L1003" s="40"/>
      <c r="M1003" s="59"/>
      <c r="N1003" s="62"/>
      <c r="O1003" s="32"/>
      <c r="P1003" s="85"/>
      <c r="Q1003" s="126"/>
      <c r="R1003" s="126"/>
      <c r="S1003" s="126"/>
      <c r="T1003" s="85"/>
      <c r="U1003" s="85"/>
      <c r="V1003" s="85"/>
      <c r="W1003" s="85"/>
    </row>
    <row r="1004" spans="1:23" s="33" customFormat="1" ht="18" customHeight="1" x14ac:dyDescent="0.25">
      <c r="A1004" s="28"/>
      <c r="B1004" s="35" t="s">
        <v>354</v>
      </c>
      <c r="C1004" s="40">
        <v>1</v>
      </c>
      <c r="D1004" s="40">
        <v>6.3</v>
      </c>
      <c r="E1004" s="40"/>
      <c r="F1004" s="40"/>
      <c r="G1004" s="40"/>
      <c r="H1004" s="40"/>
      <c r="I1004" s="40"/>
      <c r="J1004" s="40">
        <f>+D1004</f>
        <v>6.3</v>
      </c>
      <c r="K1004" s="40">
        <f>+J1004*C1004</f>
        <v>6.3</v>
      </c>
      <c r="L1004" s="40"/>
      <c r="M1004" s="59"/>
      <c r="N1004" s="62"/>
      <c r="O1004" s="32"/>
      <c r="P1004" s="85"/>
      <c r="Q1004" s="126"/>
      <c r="R1004" s="126"/>
      <c r="S1004" s="126"/>
      <c r="T1004" s="85"/>
      <c r="U1004" s="85"/>
      <c r="V1004" s="85"/>
      <c r="W1004" s="85"/>
    </row>
    <row r="1005" spans="1:23" s="33" customFormat="1" ht="18" customHeight="1" x14ac:dyDescent="0.25">
      <c r="A1005" s="28"/>
      <c r="B1005" s="61" t="s">
        <v>357</v>
      </c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59"/>
      <c r="N1005" s="62"/>
      <c r="O1005" s="32"/>
      <c r="P1005" s="85"/>
      <c r="Q1005" s="126"/>
      <c r="R1005" s="126"/>
      <c r="S1005" s="126"/>
      <c r="T1005" s="85"/>
      <c r="U1005" s="85"/>
      <c r="V1005" s="85"/>
      <c r="W1005" s="85"/>
    </row>
    <row r="1006" spans="1:23" s="33" customFormat="1" ht="18" customHeight="1" x14ac:dyDescent="0.25">
      <c r="A1006" s="28"/>
      <c r="B1006" s="35" t="s">
        <v>355</v>
      </c>
      <c r="C1006" s="40">
        <v>1</v>
      </c>
      <c r="D1006" s="40">
        <f>9.6*1.05</f>
        <v>10.08</v>
      </c>
      <c r="E1006" s="40"/>
      <c r="F1006" s="40"/>
      <c r="G1006" s="40"/>
      <c r="H1006" s="40"/>
      <c r="I1006" s="40"/>
      <c r="J1006" s="40">
        <f>+D1006</f>
        <v>10.08</v>
      </c>
      <c r="K1006" s="40">
        <f>+J1006*C1006</f>
        <v>10.08</v>
      </c>
      <c r="L1006" s="40"/>
      <c r="M1006" s="59"/>
      <c r="N1006" s="62"/>
      <c r="O1006" s="32"/>
      <c r="P1006" s="85"/>
      <c r="Q1006" s="126"/>
      <c r="R1006" s="126"/>
      <c r="S1006" s="126"/>
      <c r="T1006" s="85"/>
      <c r="U1006" s="85"/>
      <c r="V1006" s="85"/>
      <c r="W1006" s="85"/>
    </row>
    <row r="1007" spans="1:23" s="33" customFormat="1" ht="18" customHeight="1" x14ac:dyDescent="0.25">
      <c r="A1007" s="28"/>
      <c r="B1007" s="61" t="s">
        <v>358</v>
      </c>
      <c r="C1007" s="40"/>
      <c r="D1007" s="130"/>
      <c r="E1007" s="40"/>
      <c r="F1007" s="40"/>
      <c r="G1007" s="40"/>
      <c r="H1007" s="40"/>
      <c r="I1007" s="40"/>
      <c r="J1007" s="40"/>
      <c r="K1007" s="40"/>
      <c r="L1007" s="40"/>
      <c r="M1007" s="59"/>
      <c r="N1007" s="62"/>
      <c r="O1007" s="32"/>
      <c r="P1007" s="85"/>
      <c r="Q1007" s="126"/>
      <c r="R1007" s="126"/>
      <c r="S1007" s="126"/>
      <c r="T1007" s="85"/>
      <c r="U1007" s="85"/>
      <c r="V1007" s="85"/>
      <c r="W1007" s="85"/>
    </row>
    <row r="1008" spans="1:23" s="33" customFormat="1" ht="18" customHeight="1" x14ac:dyDescent="0.25">
      <c r="A1008" s="28"/>
      <c r="B1008" s="35" t="s">
        <v>355</v>
      </c>
      <c r="C1008" s="40">
        <v>1</v>
      </c>
      <c r="D1008" s="40">
        <f>+D1006</f>
        <v>10.08</v>
      </c>
      <c r="E1008" s="40"/>
      <c r="F1008" s="40"/>
      <c r="G1008" s="40"/>
      <c r="H1008" s="40"/>
      <c r="I1008" s="40"/>
      <c r="J1008" s="40">
        <f>+D1008</f>
        <v>10.08</v>
      </c>
      <c r="K1008" s="40">
        <f>+J1008*C1008</f>
        <v>10.08</v>
      </c>
      <c r="L1008" s="40"/>
      <c r="M1008" s="59"/>
      <c r="N1008" s="62"/>
      <c r="O1008" s="32"/>
      <c r="P1008" s="85"/>
      <c r="Q1008" s="126"/>
      <c r="R1008" s="126"/>
      <c r="S1008" s="126"/>
      <c r="T1008" s="85"/>
      <c r="U1008" s="85"/>
      <c r="V1008" s="85"/>
      <c r="W1008" s="85"/>
    </row>
    <row r="1009" spans="1:23" s="33" customFormat="1" ht="18" customHeight="1" x14ac:dyDescent="0.25">
      <c r="A1009" s="28"/>
      <c r="B1009" s="35"/>
      <c r="C1009" s="40"/>
      <c r="D1009" s="130"/>
      <c r="E1009" s="40"/>
      <c r="F1009" s="40"/>
      <c r="G1009" s="40"/>
      <c r="H1009" s="40"/>
      <c r="I1009" s="40"/>
      <c r="J1009" s="40"/>
      <c r="K1009" s="40"/>
      <c r="L1009" s="40"/>
      <c r="M1009" s="59"/>
      <c r="N1009" s="62"/>
      <c r="O1009" s="32"/>
      <c r="P1009" s="85"/>
      <c r="Q1009" s="126"/>
      <c r="R1009" s="126"/>
      <c r="S1009" s="126"/>
      <c r="T1009" s="85"/>
      <c r="U1009" s="85"/>
      <c r="V1009" s="85"/>
      <c r="W1009" s="85"/>
    </row>
    <row r="1010" spans="1:23" s="33" customFormat="1" ht="18" customHeight="1" x14ac:dyDescent="0.25">
      <c r="A1010" s="28"/>
      <c r="B1010" s="188" t="s">
        <v>360</v>
      </c>
      <c r="C1010" s="40"/>
      <c r="D1010" s="130"/>
      <c r="E1010" s="40"/>
      <c r="F1010" s="40"/>
      <c r="G1010" s="40"/>
      <c r="H1010" s="40"/>
      <c r="I1010" s="40"/>
      <c r="J1010" s="40"/>
      <c r="K1010" s="131">
        <f>+K1011</f>
        <v>17.2</v>
      </c>
      <c r="L1010" s="40">
        <v>1</v>
      </c>
      <c r="M1010" s="59">
        <f>+L1010*K1010</f>
        <v>17.2</v>
      </c>
      <c r="N1010" s="59" t="s">
        <v>6</v>
      </c>
      <c r="O1010" s="32"/>
      <c r="P1010" s="85"/>
      <c r="Q1010" s="126"/>
      <c r="R1010" s="126"/>
      <c r="S1010" s="126"/>
      <c r="T1010" s="85"/>
      <c r="U1010" s="85"/>
      <c r="V1010" s="85"/>
      <c r="W1010" s="85"/>
    </row>
    <row r="1011" spans="1:23" s="33" customFormat="1" ht="18" customHeight="1" x14ac:dyDescent="0.25">
      <c r="A1011" s="28"/>
      <c r="B1011" s="61" t="s">
        <v>107</v>
      </c>
      <c r="C1011" s="40">
        <v>1</v>
      </c>
      <c r="D1011" s="130">
        <v>17.2</v>
      </c>
      <c r="E1011" s="40"/>
      <c r="F1011" s="40"/>
      <c r="G1011" s="40"/>
      <c r="H1011" s="40"/>
      <c r="I1011" s="40"/>
      <c r="J1011" s="40">
        <f>+D1011</f>
        <v>17.2</v>
      </c>
      <c r="K1011" s="40">
        <f>+J1011*C1011</f>
        <v>17.2</v>
      </c>
      <c r="L1011" s="40"/>
      <c r="M1011" s="59"/>
      <c r="N1011" s="62"/>
      <c r="O1011" s="32"/>
      <c r="P1011" s="85"/>
      <c r="Q1011" s="126"/>
      <c r="R1011" s="126"/>
      <c r="S1011" s="126"/>
      <c r="T1011" s="85"/>
      <c r="U1011" s="85"/>
      <c r="V1011" s="85"/>
      <c r="W1011" s="85"/>
    </row>
    <row r="1012" spans="1:23" s="33" customFormat="1" ht="18" customHeight="1" x14ac:dyDescent="0.25">
      <c r="A1012" s="28"/>
      <c r="B1012" s="35"/>
      <c r="C1012" s="40"/>
      <c r="D1012" s="130"/>
      <c r="E1012" s="40"/>
      <c r="F1012" s="40"/>
      <c r="G1012" s="40"/>
      <c r="H1012" s="40"/>
      <c r="I1012" s="40"/>
      <c r="J1012" s="40"/>
      <c r="K1012" s="40"/>
      <c r="L1012" s="40"/>
      <c r="M1012" s="59"/>
      <c r="N1012" s="62"/>
      <c r="O1012" s="32"/>
      <c r="P1012" s="85"/>
      <c r="Q1012" s="126"/>
      <c r="R1012" s="126"/>
      <c r="S1012" s="126"/>
      <c r="T1012" s="85"/>
      <c r="U1012" s="85"/>
      <c r="V1012" s="85"/>
      <c r="W1012" s="85"/>
    </row>
    <row r="1013" spans="1:23" s="33" customFormat="1" ht="18" customHeight="1" x14ac:dyDescent="0.25">
      <c r="A1013" s="28"/>
      <c r="B1013" s="188" t="s">
        <v>420</v>
      </c>
      <c r="C1013" s="40"/>
      <c r="D1013" s="130"/>
      <c r="E1013" s="40"/>
      <c r="F1013" s="40"/>
      <c r="G1013" s="40"/>
      <c r="H1013" s="40"/>
      <c r="I1013" s="40"/>
      <c r="J1013" s="40"/>
      <c r="K1013" s="131">
        <f>+K1014</f>
        <v>6.5</v>
      </c>
      <c r="L1013" s="40">
        <v>1</v>
      </c>
      <c r="M1013" s="59">
        <f>+K1013*L1013</f>
        <v>6.5</v>
      </c>
      <c r="N1013" s="59" t="s">
        <v>6</v>
      </c>
      <c r="O1013" s="32"/>
      <c r="P1013" s="85"/>
      <c r="Q1013" s="126"/>
      <c r="R1013" s="126"/>
      <c r="S1013" s="126"/>
      <c r="T1013" s="85"/>
      <c r="U1013" s="85"/>
      <c r="V1013" s="85"/>
      <c r="W1013" s="85"/>
    </row>
    <row r="1014" spans="1:23" s="33" customFormat="1" ht="18" customHeight="1" x14ac:dyDescent="0.25">
      <c r="A1014" s="28"/>
      <c r="B1014" s="61" t="s">
        <v>107</v>
      </c>
      <c r="C1014" s="40">
        <v>1</v>
      </c>
      <c r="D1014" s="130">
        <v>17.2</v>
      </c>
      <c r="E1014" s="40"/>
      <c r="F1014" s="40"/>
      <c r="G1014" s="40"/>
      <c r="H1014" s="40"/>
      <c r="I1014" s="40"/>
      <c r="J1014" s="40">
        <v>6.5</v>
      </c>
      <c r="K1014" s="40">
        <f>+J1014*C1014</f>
        <v>6.5</v>
      </c>
      <c r="L1014" s="40"/>
      <c r="M1014" s="59"/>
      <c r="N1014" s="62"/>
      <c r="O1014" s="32"/>
      <c r="P1014" s="85"/>
      <c r="Q1014" s="126"/>
      <c r="R1014" s="126"/>
      <c r="S1014" s="126"/>
      <c r="T1014" s="85"/>
      <c r="U1014" s="85"/>
      <c r="V1014" s="85"/>
      <c r="W1014" s="85"/>
    </row>
    <row r="1015" spans="1:23" s="33" customFormat="1" ht="18" customHeight="1" x14ac:dyDescent="0.25">
      <c r="A1015" s="28"/>
      <c r="B1015" s="35"/>
      <c r="C1015" s="40"/>
      <c r="D1015" s="130"/>
      <c r="E1015" s="40"/>
      <c r="F1015" s="40"/>
      <c r="G1015" s="40"/>
      <c r="H1015" s="40"/>
      <c r="I1015" s="40"/>
      <c r="J1015" s="40"/>
      <c r="K1015" s="40"/>
      <c r="L1015" s="40"/>
      <c r="M1015" s="59"/>
      <c r="N1015" s="62"/>
      <c r="O1015" s="32"/>
      <c r="P1015" s="85"/>
      <c r="Q1015" s="126"/>
      <c r="R1015" s="126"/>
      <c r="S1015" s="126"/>
      <c r="T1015" s="85"/>
      <c r="U1015" s="85"/>
      <c r="V1015" s="85"/>
      <c r="W1015" s="85"/>
    </row>
    <row r="1016" spans="1:23" s="33" customFormat="1" ht="18" customHeight="1" x14ac:dyDescent="0.25">
      <c r="A1016" s="28"/>
      <c r="B1016" s="188" t="s">
        <v>362</v>
      </c>
      <c r="C1016" s="40"/>
      <c r="D1016" s="130"/>
      <c r="E1016" s="40"/>
      <c r="F1016" s="40"/>
      <c r="G1016" s="40"/>
      <c r="H1016" s="40"/>
      <c r="I1016" s="40"/>
      <c r="J1016" s="40"/>
      <c r="K1016" s="131">
        <f>+SUM(K1018:K1022)</f>
        <v>39.9</v>
      </c>
      <c r="L1016" s="40">
        <v>1</v>
      </c>
      <c r="M1016" s="59">
        <f>+L1016*K1016</f>
        <v>39.9</v>
      </c>
      <c r="N1016" s="59" t="s">
        <v>6</v>
      </c>
      <c r="O1016" s="32"/>
      <c r="P1016" s="85"/>
      <c r="Q1016" s="126"/>
      <c r="R1016" s="126"/>
      <c r="S1016" s="126"/>
      <c r="T1016" s="85"/>
      <c r="U1016" s="85"/>
      <c r="V1016" s="85"/>
      <c r="W1016" s="85"/>
    </row>
    <row r="1017" spans="1:23" s="33" customFormat="1" ht="18" customHeight="1" x14ac:dyDescent="0.25">
      <c r="A1017" s="28"/>
      <c r="B1017" s="35" t="s">
        <v>210</v>
      </c>
      <c r="C1017" s="40"/>
      <c r="D1017" s="130"/>
      <c r="E1017" s="40"/>
      <c r="F1017" s="40"/>
      <c r="G1017" s="40"/>
      <c r="H1017" s="40"/>
      <c r="I1017" s="40"/>
      <c r="J1017" s="40"/>
      <c r="K1017" s="40"/>
      <c r="L1017" s="40"/>
      <c r="M1017" s="59"/>
      <c r="N1017" s="62"/>
      <c r="O1017" s="32"/>
      <c r="P1017" s="85"/>
      <c r="Q1017" s="126"/>
      <c r="R1017" s="126"/>
      <c r="S1017" s="126"/>
      <c r="T1017" s="85"/>
      <c r="U1017" s="85"/>
      <c r="V1017" s="85"/>
      <c r="W1017" s="85"/>
    </row>
    <row r="1018" spans="1:23" s="33" customFormat="1" ht="18" customHeight="1" x14ac:dyDescent="0.25">
      <c r="A1018" s="28"/>
      <c r="B1018" s="61" t="s">
        <v>107</v>
      </c>
      <c r="C1018" s="40">
        <v>1</v>
      </c>
      <c r="D1018" s="130">
        <v>4.5999999999999996</v>
      </c>
      <c r="E1018" s="40"/>
      <c r="F1018" s="40"/>
      <c r="G1018" s="40"/>
      <c r="H1018" s="40"/>
      <c r="I1018" s="40"/>
      <c r="J1018" s="40">
        <f>+D1018</f>
        <v>4.5999999999999996</v>
      </c>
      <c r="K1018" s="40">
        <f>+J1018*C1018</f>
        <v>4.5999999999999996</v>
      </c>
      <c r="L1018" s="40"/>
      <c r="M1018" s="59"/>
      <c r="N1018" s="62"/>
      <c r="O1018" s="32"/>
      <c r="P1018" s="85"/>
      <c r="Q1018" s="126"/>
      <c r="R1018" s="126"/>
      <c r="S1018" s="126"/>
      <c r="T1018" s="85"/>
      <c r="U1018" s="85"/>
      <c r="V1018" s="85"/>
      <c r="W1018" s="85"/>
    </row>
    <row r="1019" spans="1:23" s="33" customFormat="1" ht="18" customHeight="1" x14ac:dyDescent="0.25">
      <c r="A1019" s="28"/>
      <c r="B1019" s="61" t="s">
        <v>205</v>
      </c>
      <c r="C1019" s="40">
        <v>1</v>
      </c>
      <c r="D1019" s="130">
        <f>6.8+4.6</f>
        <v>11.399999999999999</v>
      </c>
      <c r="E1019" s="40"/>
      <c r="F1019" s="40"/>
      <c r="G1019" s="40"/>
      <c r="H1019" s="40"/>
      <c r="I1019" s="40"/>
      <c r="J1019" s="40">
        <f>+D1019</f>
        <v>11.399999999999999</v>
      </c>
      <c r="K1019" s="40">
        <f>+J1019*C1019</f>
        <v>11.399999999999999</v>
      </c>
      <c r="L1019" s="40"/>
      <c r="M1019" s="59"/>
      <c r="N1019" s="62"/>
      <c r="O1019" s="32"/>
      <c r="P1019" s="85"/>
      <c r="Q1019" s="126"/>
      <c r="R1019" s="126"/>
      <c r="S1019" s="126"/>
      <c r="T1019" s="85"/>
      <c r="U1019" s="85"/>
      <c r="V1019" s="85"/>
      <c r="W1019" s="85"/>
    </row>
    <row r="1020" spans="1:23" s="33" customFormat="1" ht="18" customHeight="1" x14ac:dyDescent="0.25">
      <c r="A1020" s="28"/>
      <c r="B1020" s="35"/>
      <c r="C1020" s="40"/>
      <c r="D1020" s="40"/>
      <c r="E1020" s="40"/>
      <c r="F1020" s="40"/>
      <c r="G1020" s="40"/>
      <c r="H1020" s="40"/>
      <c r="I1020" s="40"/>
      <c r="J1020" s="40"/>
      <c r="K1020" s="40"/>
      <c r="L1020" s="40"/>
      <c r="M1020" s="59"/>
      <c r="N1020" s="62"/>
      <c r="O1020" s="32"/>
      <c r="P1020" s="85"/>
      <c r="Q1020" s="126"/>
      <c r="R1020" s="126"/>
      <c r="S1020" s="126"/>
      <c r="T1020" s="85"/>
      <c r="U1020" s="85"/>
      <c r="V1020" s="85"/>
      <c r="W1020" s="85"/>
    </row>
    <row r="1021" spans="1:23" s="33" customFormat="1" ht="18" customHeight="1" x14ac:dyDescent="0.25">
      <c r="A1021" s="28"/>
      <c r="B1021" s="35" t="s">
        <v>233</v>
      </c>
      <c r="C1021" s="40"/>
      <c r="D1021" s="130"/>
      <c r="E1021" s="40"/>
      <c r="F1021" s="40"/>
      <c r="G1021" s="40"/>
      <c r="H1021" s="40"/>
      <c r="I1021" s="40"/>
      <c r="J1021" s="40"/>
      <c r="K1021" s="40"/>
      <c r="L1021" s="40"/>
      <c r="M1021" s="59"/>
      <c r="N1021" s="62"/>
      <c r="O1021" s="32"/>
      <c r="P1021" s="85"/>
      <c r="Q1021" s="126"/>
      <c r="R1021" s="126"/>
      <c r="S1021" s="126"/>
      <c r="T1021" s="85"/>
      <c r="U1021" s="85"/>
      <c r="V1021" s="85"/>
      <c r="W1021" s="85"/>
    </row>
    <row r="1022" spans="1:23" s="33" customFormat="1" ht="18" customHeight="1" x14ac:dyDescent="0.25">
      <c r="A1022" s="28"/>
      <c r="B1022" s="61" t="s">
        <v>205</v>
      </c>
      <c r="C1022" s="40">
        <v>1</v>
      </c>
      <c r="D1022" s="130">
        <v>23.9</v>
      </c>
      <c r="E1022" s="40"/>
      <c r="F1022" s="40"/>
      <c r="G1022" s="40"/>
      <c r="H1022" s="40"/>
      <c r="I1022" s="40"/>
      <c r="J1022" s="40">
        <f>+D1022</f>
        <v>23.9</v>
      </c>
      <c r="K1022" s="40">
        <f>+J1022*C1022</f>
        <v>23.9</v>
      </c>
      <c r="L1022" s="40"/>
      <c r="M1022" s="59"/>
      <c r="N1022" s="62"/>
      <c r="O1022" s="32"/>
      <c r="P1022" s="85"/>
      <c r="Q1022" s="126"/>
      <c r="R1022" s="126"/>
      <c r="S1022" s="126"/>
      <c r="T1022" s="85"/>
      <c r="U1022" s="85"/>
      <c r="V1022" s="85"/>
      <c r="W1022" s="85"/>
    </row>
    <row r="1023" spans="1:23" s="33" customFormat="1" ht="18" customHeight="1" x14ac:dyDescent="0.25">
      <c r="A1023" s="28"/>
      <c r="B1023" s="35"/>
      <c r="C1023" s="40"/>
      <c r="D1023" s="40"/>
      <c r="E1023" s="40"/>
      <c r="F1023" s="40"/>
      <c r="G1023" s="40"/>
      <c r="H1023" s="40"/>
      <c r="I1023" s="40"/>
      <c r="J1023" s="40"/>
      <c r="K1023" s="40"/>
      <c r="L1023" s="40"/>
      <c r="M1023" s="59"/>
      <c r="N1023" s="62"/>
      <c r="O1023" s="32"/>
      <c r="P1023" s="85"/>
      <c r="Q1023" s="126"/>
      <c r="R1023" s="126"/>
      <c r="S1023" s="126"/>
      <c r="T1023" s="85"/>
      <c r="U1023" s="85"/>
      <c r="V1023" s="85"/>
      <c r="W1023" s="85"/>
    </row>
    <row r="1024" spans="1:23" s="33" customFormat="1" ht="18" customHeight="1" x14ac:dyDescent="0.25">
      <c r="A1024" s="28"/>
      <c r="B1024" s="35" t="s">
        <v>353</v>
      </c>
      <c r="C1024" s="40"/>
      <c r="D1024" s="40"/>
      <c r="E1024" s="40"/>
      <c r="F1024" s="40"/>
      <c r="G1024" s="40"/>
      <c r="H1024" s="40"/>
      <c r="I1024" s="40"/>
      <c r="J1024" s="40"/>
      <c r="K1024" s="131">
        <f>+K1026+K1028</f>
        <v>36.450000000000003</v>
      </c>
      <c r="L1024" s="40">
        <v>1</v>
      </c>
      <c r="M1024" s="59">
        <f>+L1024*K1024</f>
        <v>36.450000000000003</v>
      </c>
      <c r="N1024" s="59" t="s">
        <v>6</v>
      </c>
      <c r="O1024" s="32"/>
      <c r="P1024" s="85"/>
      <c r="Q1024" s="126"/>
      <c r="R1024" s="126"/>
      <c r="S1024" s="126"/>
      <c r="T1024" s="85"/>
      <c r="U1024" s="85"/>
      <c r="V1024" s="85"/>
      <c r="W1024" s="85"/>
    </row>
    <row r="1025" spans="1:23" s="33" customFormat="1" ht="18" customHeight="1" x14ac:dyDescent="0.25">
      <c r="A1025" s="28"/>
      <c r="B1025" s="61" t="s">
        <v>107</v>
      </c>
      <c r="C1025" s="40"/>
      <c r="D1025" s="40"/>
      <c r="E1025" s="40"/>
      <c r="F1025" s="40"/>
      <c r="G1025" s="40"/>
      <c r="H1025" s="40"/>
      <c r="I1025" s="40"/>
      <c r="J1025" s="40"/>
      <c r="K1025" s="40"/>
      <c r="L1025" s="40"/>
      <c r="M1025" s="59"/>
      <c r="N1025" s="62"/>
      <c r="O1025" s="32"/>
      <c r="P1025" s="85"/>
      <c r="Q1025" s="126"/>
      <c r="R1025" s="126"/>
      <c r="S1025" s="126"/>
      <c r="T1025" s="85"/>
      <c r="U1025" s="85"/>
      <c r="V1025" s="85"/>
      <c r="W1025" s="85"/>
    </row>
    <row r="1026" spans="1:23" s="33" customFormat="1" ht="18" customHeight="1" x14ac:dyDescent="0.25">
      <c r="A1026" s="28"/>
      <c r="B1026" s="35"/>
      <c r="C1026" s="40">
        <v>1</v>
      </c>
      <c r="D1026" s="130">
        <f>24.5+11.95</f>
        <v>36.450000000000003</v>
      </c>
      <c r="E1026" s="40"/>
      <c r="F1026" s="40"/>
      <c r="G1026" s="40"/>
      <c r="H1026" s="40"/>
      <c r="I1026" s="40"/>
      <c r="J1026" s="40">
        <v>24.5</v>
      </c>
      <c r="K1026" s="40">
        <f>+J1026*C1026</f>
        <v>24.5</v>
      </c>
      <c r="L1026" s="40"/>
      <c r="M1026" s="59"/>
      <c r="N1026" s="62"/>
      <c r="O1026" s="32"/>
      <c r="P1026" s="85"/>
      <c r="Q1026" s="126"/>
      <c r="R1026" s="126"/>
      <c r="S1026" s="126"/>
      <c r="T1026" s="85"/>
      <c r="U1026" s="85"/>
      <c r="V1026" s="85"/>
      <c r="W1026" s="85"/>
    </row>
    <row r="1027" spans="1:23" s="33" customFormat="1" ht="18" customHeight="1" x14ac:dyDescent="0.25">
      <c r="A1027" s="28"/>
      <c r="B1027" s="61" t="s">
        <v>204</v>
      </c>
      <c r="C1027" s="40"/>
      <c r="D1027" s="40"/>
      <c r="E1027" s="40"/>
      <c r="F1027" s="40"/>
      <c r="G1027" s="40"/>
      <c r="H1027" s="40"/>
      <c r="I1027" s="40"/>
      <c r="J1027" s="40"/>
      <c r="K1027" s="40"/>
      <c r="L1027" s="40"/>
      <c r="M1027" s="59"/>
      <c r="N1027" s="62"/>
      <c r="O1027" s="32"/>
      <c r="P1027" s="85"/>
      <c r="Q1027" s="126"/>
      <c r="R1027" s="126"/>
      <c r="S1027" s="126"/>
      <c r="T1027" s="85"/>
      <c r="U1027" s="85"/>
      <c r="V1027" s="85"/>
      <c r="W1027" s="85"/>
    </row>
    <row r="1028" spans="1:23" s="33" customFormat="1" ht="18" customHeight="1" x14ac:dyDescent="0.25">
      <c r="A1028" s="28"/>
      <c r="B1028" s="35"/>
      <c r="C1028" s="40">
        <v>1</v>
      </c>
      <c r="D1028" s="130">
        <f>24.5+11.95</f>
        <v>36.450000000000003</v>
      </c>
      <c r="E1028" s="40"/>
      <c r="F1028" s="40"/>
      <c r="G1028" s="40"/>
      <c r="H1028" s="40"/>
      <c r="I1028" s="40"/>
      <c r="J1028" s="40">
        <v>11.95</v>
      </c>
      <c r="K1028" s="40">
        <f>+J1028*C1028</f>
        <v>11.95</v>
      </c>
      <c r="L1028" s="40"/>
      <c r="M1028" s="59"/>
      <c r="N1028" s="62"/>
      <c r="O1028" s="32"/>
      <c r="P1028" s="85"/>
      <c r="Q1028" s="126"/>
      <c r="R1028" s="126"/>
      <c r="S1028" s="126"/>
      <c r="T1028" s="85"/>
      <c r="U1028" s="85"/>
      <c r="V1028" s="85"/>
      <c r="W1028" s="85"/>
    </row>
    <row r="1029" spans="1:23" s="33" customFormat="1" ht="18" customHeight="1" x14ac:dyDescent="0.25">
      <c r="A1029" s="28"/>
      <c r="B1029" s="35"/>
      <c r="C1029" s="40"/>
      <c r="D1029" s="40"/>
      <c r="E1029" s="40"/>
      <c r="F1029" s="40"/>
      <c r="G1029" s="40"/>
      <c r="H1029" s="40"/>
      <c r="I1029" s="40"/>
      <c r="J1029" s="40"/>
      <c r="K1029" s="40"/>
      <c r="L1029" s="40"/>
      <c r="M1029" s="59"/>
      <c r="N1029" s="62"/>
      <c r="O1029" s="32"/>
      <c r="P1029" s="85"/>
      <c r="Q1029" s="126"/>
      <c r="R1029" s="126"/>
      <c r="S1029" s="126"/>
      <c r="T1029" s="85"/>
      <c r="U1029" s="85"/>
      <c r="V1029" s="85"/>
      <c r="W1029" s="85"/>
    </row>
    <row r="1030" spans="1:23" s="33" customFormat="1" ht="18" customHeight="1" x14ac:dyDescent="0.25">
      <c r="A1030" s="28"/>
      <c r="B1030" s="35"/>
      <c r="C1030" s="40"/>
      <c r="D1030" s="40"/>
      <c r="E1030" s="40"/>
      <c r="F1030" s="40"/>
      <c r="G1030" s="40"/>
      <c r="H1030" s="40"/>
      <c r="I1030" s="40"/>
      <c r="J1030" s="40"/>
      <c r="K1030" s="40"/>
      <c r="L1030" s="40"/>
      <c r="M1030" s="59"/>
      <c r="N1030" s="62"/>
      <c r="O1030" s="32"/>
      <c r="P1030" s="85"/>
      <c r="Q1030" s="126"/>
      <c r="R1030" s="126"/>
      <c r="S1030" s="126"/>
      <c r="T1030" s="85"/>
      <c r="U1030" s="85"/>
      <c r="V1030" s="85"/>
      <c r="W1030" s="85"/>
    </row>
    <row r="1031" spans="1:23" s="33" customFormat="1" ht="18" customHeight="1" x14ac:dyDescent="0.25">
      <c r="A1031" s="28"/>
      <c r="B1031" s="35"/>
      <c r="C1031" s="40"/>
      <c r="D1031" s="40"/>
      <c r="E1031" s="40"/>
      <c r="F1031" s="40"/>
      <c r="G1031" s="40"/>
      <c r="H1031" s="40"/>
      <c r="I1031" s="40"/>
      <c r="J1031" s="40"/>
      <c r="K1031" s="40"/>
      <c r="L1031" s="40"/>
      <c r="M1031" s="59"/>
      <c r="N1031" s="62"/>
      <c r="O1031" s="32"/>
      <c r="P1031" s="85"/>
      <c r="Q1031" s="126"/>
      <c r="R1031" s="126"/>
      <c r="S1031" s="126"/>
      <c r="T1031" s="85"/>
      <c r="U1031" s="85"/>
      <c r="V1031" s="85"/>
      <c r="W1031" s="85"/>
    </row>
    <row r="1032" spans="1:23" s="33" customFormat="1" ht="18" customHeight="1" x14ac:dyDescent="0.25">
      <c r="A1032" s="28"/>
      <c r="B1032" s="35"/>
      <c r="C1032" s="40"/>
      <c r="D1032" s="40"/>
      <c r="E1032" s="40"/>
      <c r="F1032" s="40"/>
      <c r="G1032" s="40"/>
      <c r="H1032" s="40"/>
      <c r="I1032" s="40"/>
      <c r="J1032" s="40"/>
      <c r="K1032" s="40"/>
      <c r="L1032" s="40"/>
      <c r="M1032" s="59"/>
      <c r="N1032" s="62"/>
      <c r="O1032" s="32"/>
      <c r="P1032" s="85"/>
      <c r="Q1032" s="126"/>
      <c r="R1032" s="126"/>
      <c r="S1032" s="126"/>
      <c r="T1032" s="85"/>
      <c r="U1032" s="85"/>
      <c r="V1032" s="85"/>
      <c r="W1032" s="85"/>
    </row>
    <row r="1033" spans="1:23" s="33" customFormat="1" ht="18" customHeight="1" x14ac:dyDescent="0.25">
      <c r="A1033" s="28"/>
      <c r="B1033" s="35"/>
      <c r="C1033" s="40"/>
      <c r="D1033" s="40"/>
      <c r="E1033" s="40"/>
      <c r="F1033" s="40"/>
      <c r="G1033" s="40"/>
      <c r="H1033" s="40"/>
      <c r="I1033" s="40"/>
      <c r="J1033" s="40"/>
      <c r="K1033" s="40"/>
      <c r="L1033" s="40"/>
      <c r="M1033" s="59"/>
      <c r="N1033" s="62"/>
      <c r="O1033" s="32"/>
      <c r="P1033" s="85"/>
      <c r="Q1033" s="126"/>
      <c r="R1033" s="126"/>
      <c r="S1033" s="126"/>
      <c r="T1033" s="85"/>
      <c r="U1033" s="85"/>
      <c r="V1033" s="85"/>
      <c r="W1033" s="85"/>
    </row>
    <row r="1034" spans="1:23" s="33" customFormat="1" ht="13.8" x14ac:dyDescent="0.25">
      <c r="A1034" s="28" t="s">
        <v>27</v>
      </c>
      <c r="B1034" s="29" t="s">
        <v>345</v>
      </c>
      <c r="C1034" s="40"/>
      <c r="D1034" s="40"/>
      <c r="E1034" s="40"/>
      <c r="F1034" s="40"/>
      <c r="G1034" s="40"/>
      <c r="H1034" s="40"/>
      <c r="I1034" s="40"/>
      <c r="J1034" s="40"/>
      <c r="K1034" s="40"/>
      <c r="L1034" s="40"/>
      <c r="M1034" s="59"/>
      <c r="N1034" s="97"/>
      <c r="O1034" s="32"/>
      <c r="P1034" s="85"/>
      <c r="Q1034" s="126"/>
      <c r="R1034" s="126"/>
      <c r="S1034" s="126"/>
      <c r="T1034" s="85"/>
      <c r="U1034" s="85"/>
      <c r="V1034" s="85"/>
      <c r="W1034" s="85"/>
    </row>
    <row r="1035" spans="1:23" s="33" customFormat="1" ht="18" customHeight="1" x14ac:dyDescent="0.25">
      <c r="A1035" s="28"/>
      <c r="B1035" s="35" t="s">
        <v>242</v>
      </c>
      <c r="C1035" s="40"/>
      <c r="D1035" s="40"/>
      <c r="E1035" s="40"/>
      <c r="F1035" s="40"/>
      <c r="G1035" s="40"/>
      <c r="H1035" s="40"/>
      <c r="I1035" s="40"/>
      <c r="J1035" s="40"/>
      <c r="K1035" s="40">
        <f>+SUM(K1036:K1048)</f>
        <v>8.2708000000000013</v>
      </c>
      <c r="L1035" s="40">
        <v>1</v>
      </c>
      <c r="M1035" s="59">
        <f>+L1035*K1035</f>
        <v>8.2708000000000013</v>
      </c>
      <c r="N1035" s="97" t="s">
        <v>11</v>
      </c>
      <c r="O1035" s="32"/>
      <c r="P1035" s="85"/>
      <c r="Q1035" s="126"/>
      <c r="R1035" s="126"/>
      <c r="S1035" s="126"/>
      <c r="T1035" s="85"/>
      <c r="U1035" s="85"/>
      <c r="V1035" s="85"/>
      <c r="W1035" s="85"/>
    </row>
    <row r="1036" spans="1:23" s="33" customFormat="1" ht="18" customHeight="1" x14ac:dyDescent="0.25">
      <c r="A1036" s="28"/>
      <c r="B1036" s="35" t="s">
        <v>105</v>
      </c>
      <c r="C1036" s="40">
        <v>15</v>
      </c>
      <c r="D1036" s="40">
        <v>0.11</v>
      </c>
      <c r="E1036" s="40">
        <v>0.26</v>
      </c>
      <c r="F1036" s="40">
        <v>10.8</v>
      </c>
      <c r="G1036" s="40"/>
      <c r="H1036" s="40"/>
      <c r="I1036" s="40">
        <f>+F1036*E1036*D1036</f>
        <v>0.30888000000000004</v>
      </c>
      <c r="J1036" s="40">
        <f>+I1036</f>
        <v>0.30888000000000004</v>
      </c>
      <c r="K1036" s="40">
        <f>+J1036*C1036</f>
        <v>4.6332000000000004</v>
      </c>
      <c r="L1036" s="40"/>
      <c r="M1036" s="59"/>
      <c r="N1036" s="62"/>
      <c r="O1036" s="32"/>
      <c r="P1036" s="85"/>
      <c r="Q1036" s="126"/>
      <c r="R1036" s="126"/>
      <c r="S1036" s="126"/>
      <c r="T1036" s="85"/>
      <c r="U1036" s="85"/>
      <c r="V1036" s="85"/>
      <c r="W1036" s="85"/>
    </row>
    <row r="1037" spans="1:23" s="33" customFormat="1" ht="18" customHeight="1" x14ac:dyDescent="0.25">
      <c r="A1037" s="28"/>
      <c r="B1037" s="35" t="s">
        <v>348</v>
      </c>
      <c r="C1037" s="40">
        <f>38*2</f>
        <v>76</v>
      </c>
      <c r="D1037" s="40">
        <v>1.5</v>
      </c>
      <c r="E1037" s="40">
        <v>0.05</v>
      </c>
      <c r="F1037" s="40">
        <v>0.05</v>
      </c>
      <c r="G1037" s="40"/>
      <c r="H1037" s="40"/>
      <c r="I1037" s="40">
        <f>+F1037*E1037*D1037</f>
        <v>3.7500000000000007E-3</v>
      </c>
      <c r="J1037" s="40">
        <f>+I1037</f>
        <v>3.7500000000000007E-3</v>
      </c>
      <c r="K1037" s="40">
        <f>+J1037*C1037</f>
        <v>0.28500000000000003</v>
      </c>
      <c r="L1037" s="40"/>
      <c r="M1037" s="59"/>
      <c r="N1037" s="62"/>
      <c r="O1037" s="32"/>
      <c r="P1037" s="85"/>
      <c r="Q1037" s="126"/>
      <c r="R1037" s="126"/>
      <c r="S1037" s="126"/>
      <c r="T1037" s="85"/>
      <c r="U1037" s="85"/>
      <c r="V1037" s="85"/>
      <c r="W1037" s="85"/>
    </row>
    <row r="1038" spans="1:23" s="33" customFormat="1" ht="18" customHeight="1" x14ac:dyDescent="0.25">
      <c r="A1038" s="28"/>
      <c r="B1038" s="35"/>
      <c r="C1038" s="40">
        <f>38*6</f>
        <v>228</v>
      </c>
      <c r="D1038" s="40">
        <v>1.85</v>
      </c>
      <c r="E1038" s="40">
        <v>0.05</v>
      </c>
      <c r="F1038" s="40">
        <v>0.05</v>
      </c>
      <c r="G1038" s="40"/>
      <c r="H1038" s="40"/>
      <c r="I1038" s="40">
        <f>+F1038*E1038*D1038</f>
        <v>4.6250000000000015E-3</v>
      </c>
      <c r="J1038" s="40">
        <f>+I1038</f>
        <v>4.6250000000000015E-3</v>
      </c>
      <c r="K1038" s="40">
        <f>+J1038*C1038</f>
        <v>1.0545000000000004</v>
      </c>
      <c r="L1038" s="40"/>
      <c r="M1038" s="59"/>
      <c r="N1038" s="62"/>
      <c r="O1038" s="32"/>
      <c r="P1038" s="85"/>
      <c r="Q1038" s="126"/>
      <c r="R1038" s="126"/>
      <c r="S1038" s="126"/>
      <c r="T1038" s="85"/>
      <c r="U1038" s="85"/>
      <c r="V1038" s="85"/>
      <c r="W1038" s="85"/>
    </row>
    <row r="1039" spans="1:23" s="33" customFormat="1" ht="18" customHeight="1" x14ac:dyDescent="0.25">
      <c r="A1039" s="28"/>
      <c r="B1039" s="35"/>
      <c r="C1039" s="40">
        <f>38*2</f>
        <v>76</v>
      </c>
      <c r="D1039" s="40">
        <v>1.85</v>
      </c>
      <c r="E1039" s="40">
        <v>0.05</v>
      </c>
      <c r="F1039" s="40">
        <v>0.05</v>
      </c>
      <c r="G1039" s="40"/>
      <c r="H1039" s="40"/>
      <c r="I1039" s="40">
        <f>+F1039*E1039*D1039</f>
        <v>4.6250000000000015E-3</v>
      </c>
      <c r="J1039" s="40">
        <f>+I1039</f>
        <v>4.6250000000000015E-3</v>
      </c>
      <c r="K1039" s="40">
        <f>+J1039*C1039</f>
        <v>0.35150000000000009</v>
      </c>
      <c r="L1039" s="40"/>
      <c r="M1039" s="59"/>
      <c r="N1039" s="62"/>
      <c r="O1039" s="32"/>
      <c r="P1039" s="85"/>
      <c r="Q1039" s="126"/>
      <c r="R1039" s="126"/>
      <c r="S1039" s="126"/>
      <c r="T1039" s="85"/>
      <c r="U1039" s="85"/>
      <c r="V1039" s="85"/>
      <c r="W1039" s="85"/>
    </row>
    <row r="1040" spans="1:23" s="33" customFormat="1" ht="18" customHeight="1" x14ac:dyDescent="0.25">
      <c r="A1040" s="28"/>
      <c r="B1040" s="35" t="s">
        <v>350</v>
      </c>
      <c r="C1040" s="40">
        <f>2*2*38</f>
        <v>152</v>
      </c>
      <c r="D1040" s="40">
        <v>1.95</v>
      </c>
      <c r="E1040" s="40">
        <v>0.05</v>
      </c>
      <c r="F1040" s="40">
        <v>0.05</v>
      </c>
      <c r="G1040" s="40"/>
      <c r="H1040" s="40"/>
      <c r="I1040" s="40">
        <f>+F1040*E1040*D1040</f>
        <v>4.8750000000000009E-3</v>
      </c>
      <c r="J1040" s="40">
        <f>+I1040</f>
        <v>4.8750000000000009E-3</v>
      </c>
      <c r="K1040" s="40">
        <f>+J1040*C1040</f>
        <v>0.7410000000000001</v>
      </c>
      <c r="L1040" s="40"/>
      <c r="M1040" s="59"/>
      <c r="N1040" s="62"/>
      <c r="O1040" s="32"/>
      <c r="P1040" s="85"/>
      <c r="Q1040" s="126"/>
      <c r="R1040" s="126"/>
      <c r="S1040" s="126"/>
      <c r="T1040" s="85"/>
      <c r="U1040" s="85"/>
      <c r="V1040" s="85"/>
      <c r="W1040" s="85"/>
    </row>
    <row r="1041" spans="1:23" s="33" customFormat="1" ht="18" customHeight="1" x14ac:dyDescent="0.25">
      <c r="A1041" s="28"/>
      <c r="B1041" s="35"/>
      <c r="C1041" s="40"/>
      <c r="D1041" s="40"/>
      <c r="E1041" s="40"/>
      <c r="F1041" s="40"/>
      <c r="G1041" s="40"/>
      <c r="H1041" s="40"/>
      <c r="I1041" s="40"/>
      <c r="J1041" s="40"/>
      <c r="K1041" s="40"/>
      <c r="L1041" s="40"/>
      <c r="M1041" s="59"/>
      <c r="N1041" s="62"/>
      <c r="O1041" s="32"/>
      <c r="P1041" s="85"/>
      <c r="Q1041" s="126"/>
      <c r="R1041" s="126"/>
      <c r="S1041" s="126"/>
      <c r="T1041" s="85"/>
      <c r="U1041" s="85"/>
      <c r="V1041" s="85"/>
      <c r="W1041" s="85"/>
    </row>
    <row r="1042" spans="1:23" s="33" customFormat="1" ht="18" customHeight="1" x14ac:dyDescent="0.25">
      <c r="A1042" s="28"/>
      <c r="B1042" s="35"/>
      <c r="C1042" s="40"/>
      <c r="D1042" s="40"/>
      <c r="E1042" s="40"/>
      <c r="F1042" s="40"/>
      <c r="G1042" s="40"/>
      <c r="H1042" s="40"/>
      <c r="I1042" s="40"/>
      <c r="J1042" s="40"/>
      <c r="K1042" s="40"/>
      <c r="L1042" s="40"/>
      <c r="M1042" s="59"/>
      <c r="N1042" s="62"/>
      <c r="O1042" s="32"/>
      <c r="P1042" s="85"/>
      <c r="Q1042" s="126"/>
      <c r="R1042" s="126"/>
      <c r="S1042" s="126"/>
      <c r="T1042" s="85"/>
      <c r="U1042" s="85"/>
      <c r="V1042" s="85"/>
      <c r="W1042" s="85"/>
    </row>
    <row r="1043" spans="1:23" s="33" customFormat="1" ht="18" customHeight="1" x14ac:dyDescent="0.25">
      <c r="A1043" s="28"/>
      <c r="B1043" s="35"/>
      <c r="C1043" s="40"/>
      <c r="D1043" s="40"/>
      <c r="E1043" s="40"/>
      <c r="F1043" s="40"/>
      <c r="G1043" s="40"/>
      <c r="H1043" s="40"/>
      <c r="I1043" s="40"/>
      <c r="J1043" s="40"/>
      <c r="K1043" s="40"/>
      <c r="L1043" s="40"/>
      <c r="M1043" s="59"/>
      <c r="N1043" s="62"/>
      <c r="O1043" s="32"/>
      <c r="P1043" s="85"/>
      <c r="Q1043" s="126"/>
      <c r="R1043" s="126"/>
      <c r="S1043" s="126"/>
      <c r="T1043" s="85"/>
      <c r="U1043" s="85"/>
      <c r="V1043" s="85"/>
      <c r="W1043" s="85"/>
    </row>
    <row r="1044" spans="1:23" s="33" customFormat="1" ht="18" customHeight="1" x14ac:dyDescent="0.25">
      <c r="A1044" s="28"/>
      <c r="B1044" s="35"/>
      <c r="C1044" s="40"/>
      <c r="D1044" s="40"/>
      <c r="E1044" s="40"/>
      <c r="F1044" s="40"/>
      <c r="G1044" s="40"/>
      <c r="H1044" s="40"/>
      <c r="I1044" s="40"/>
      <c r="J1044" s="40"/>
      <c r="K1044" s="40"/>
      <c r="L1044" s="40"/>
      <c r="M1044" s="59"/>
      <c r="N1044" s="62"/>
      <c r="O1044" s="32"/>
      <c r="P1044" s="85"/>
      <c r="Q1044" s="126"/>
      <c r="R1044" s="126"/>
      <c r="S1044" s="126"/>
      <c r="T1044" s="85"/>
      <c r="U1044" s="85"/>
      <c r="V1044" s="85"/>
      <c r="W1044" s="85"/>
    </row>
    <row r="1045" spans="1:23" s="33" customFormat="1" ht="18" customHeight="1" x14ac:dyDescent="0.25">
      <c r="A1045" s="28"/>
      <c r="B1045" s="35" t="s">
        <v>349</v>
      </c>
      <c r="C1045" s="40">
        <v>2</v>
      </c>
      <c r="D1045" s="40">
        <v>18.2</v>
      </c>
      <c r="E1045" s="40">
        <v>0.11</v>
      </c>
      <c r="F1045" s="40">
        <v>0.2</v>
      </c>
      <c r="G1045" s="40"/>
      <c r="H1045" s="40"/>
      <c r="I1045" s="40">
        <f>+F1045*E1045*D1045</f>
        <v>0.40040000000000003</v>
      </c>
      <c r="J1045" s="40">
        <f>+I1045</f>
        <v>0.40040000000000003</v>
      </c>
      <c r="K1045" s="40">
        <f>+J1045*C1045</f>
        <v>0.80080000000000007</v>
      </c>
      <c r="L1045" s="40"/>
      <c r="M1045" s="59"/>
      <c r="N1045" s="62"/>
      <c r="O1045" s="32"/>
      <c r="P1045" s="85"/>
      <c r="Q1045" s="126"/>
      <c r="R1045" s="126"/>
      <c r="S1045" s="126"/>
      <c r="T1045" s="85"/>
      <c r="U1045" s="85"/>
      <c r="V1045" s="85"/>
      <c r="W1045" s="85"/>
    </row>
    <row r="1046" spans="1:23" s="33" customFormat="1" ht="18" customHeight="1" x14ac:dyDescent="0.25">
      <c r="A1046" s="28"/>
      <c r="B1046" s="35" t="s">
        <v>351</v>
      </c>
      <c r="C1046" s="40">
        <f>2*2</f>
        <v>4</v>
      </c>
      <c r="D1046" s="40">
        <v>4.5999999999999996</v>
      </c>
      <c r="E1046" s="40">
        <v>0.11</v>
      </c>
      <c r="F1046" s="40">
        <v>0.2</v>
      </c>
      <c r="G1046" s="40"/>
      <c r="H1046" s="40"/>
      <c r="I1046" s="40">
        <f>+F1046*E1046*D1046</f>
        <v>0.1012</v>
      </c>
      <c r="J1046" s="40">
        <f>+I1046</f>
        <v>0.1012</v>
      </c>
      <c r="K1046" s="40">
        <f>+J1046*C1046</f>
        <v>0.40479999999999999</v>
      </c>
      <c r="L1046" s="40"/>
      <c r="M1046" s="59"/>
      <c r="N1046" s="62"/>
      <c r="O1046" s="32"/>
      <c r="P1046" s="85"/>
      <c r="Q1046" s="126"/>
      <c r="R1046" s="126"/>
      <c r="S1046" s="126"/>
      <c r="T1046" s="85"/>
      <c r="U1046" s="85"/>
      <c r="V1046" s="85"/>
      <c r="W1046" s="85"/>
    </row>
    <row r="1047" spans="1:23" s="33" customFormat="1" ht="18" customHeight="1" x14ac:dyDescent="0.25">
      <c r="A1047" s="28"/>
      <c r="B1047" s="35"/>
      <c r="C1047" s="40"/>
      <c r="D1047" s="40"/>
      <c r="E1047" s="40"/>
      <c r="F1047" s="40"/>
      <c r="G1047" s="40"/>
      <c r="H1047" s="40"/>
      <c r="I1047" s="40"/>
      <c r="J1047" s="40"/>
      <c r="K1047" s="40"/>
      <c r="L1047" s="40"/>
      <c r="M1047" s="59"/>
      <c r="N1047" s="62"/>
      <c r="O1047" s="32"/>
      <c r="P1047" s="85"/>
      <c r="Q1047" s="126"/>
      <c r="R1047" s="126"/>
      <c r="S1047" s="126"/>
      <c r="T1047" s="85"/>
      <c r="U1047" s="85"/>
      <c r="V1047" s="85"/>
      <c r="W1047" s="85"/>
    </row>
    <row r="1048" spans="1:23" s="33" customFormat="1" ht="18" customHeight="1" x14ac:dyDescent="0.25">
      <c r="A1048" s="28"/>
      <c r="B1048" s="35"/>
      <c r="C1048" s="40"/>
      <c r="D1048" s="40"/>
      <c r="E1048" s="40"/>
      <c r="F1048" s="40"/>
      <c r="G1048" s="40"/>
      <c r="H1048" s="40"/>
      <c r="I1048" s="40"/>
      <c r="J1048" s="40"/>
      <c r="K1048" s="40"/>
      <c r="L1048" s="40"/>
      <c r="M1048" s="59"/>
      <c r="N1048" s="62"/>
      <c r="O1048" s="32"/>
      <c r="P1048" s="85"/>
      <c r="Q1048" s="126"/>
      <c r="R1048" s="126"/>
      <c r="S1048" s="126"/>
      <c r="T1048" s="85"/>
      <c r="U1048" s="85"/>
      <c r="V1048" s="85"/>
      <c r="W1048" s="85"/>
    </row>
    <row r="1049" spans="1:23" s="33" customFormat="1" ht="13.8" x14ac:dyDescent="0.25">
      <c r="A1049" s="28" t="s">
        <v>27</v>
      </c>
      <c r="B1049" s="29" t="s">
        <v>40</v>
      </c>
      <c r="C1049" s="40"/>
      <c r="D1049" s="40"/>
      <c r="E1049" s="40"/>
      <c r="F1049" s="40"/>
      <c r="G1049" s="40"/>
      <c r="H1049" s="40"/>
      <c r="I1049" s="40"/>
      <c r="J1049" s="40"/>
      <c r="K1049" s="40"/>
      <c r="L1049" s="40"/>
      <c r="M1049" s="59"/>
      <c r="N1049" s="97"/>
      <c r="O1049" s="32"/>
      <c r="P1049" s="85"/>
      <c r="Q1049" s="126"/>
      <c r="R1049" s="126"/>
      <c r="S1049" s="126"/>
      <c r="T1049" s="85"/>
      <c r="U1049" s="85"/>
      <c r="V1049" s="85"/>
      <c r="W1049" s="85"/>
    </row>
    <row r="1050" spans="1:23" s="33" customFormat="1" ht="13.8" x14ac:dyDescent="0.25">
      <c r="A1050" s="34"/>
      <c r="B1050" s="43" t="s">
        <v>149</v>
      </c>
      <c r="C1050" s="40"/>
      <c r="D1050" s="40"/>
      <c r="E1050" s="40"/>
      <c r="F1050" s="40"/>
      <c r="G1050" s="40"/>
      <c r="H1050" s="40"/>
      <c r="I1050" s="40"/>
      <c r="J1050" s="40"/>
      <c r="K1050" s="40"/>
      <c r="L1050" s="40"/>
      <c r="M1050" s="59">
        <f>+K1050</f>
        <v>0</v>
      </c>
      <c r="N1050" s="97" t="s">
        <v>5</v>
      </c>
      <c r="O1050" s="32"/>
      <c r="P1050" s="85"/>
      <c r="Q1050" s="126"/>
      <c r="R1050" s="126"/>
      <c r="S1050" s="126"/>
      <c r="T1050" s="85"/>
      <c r="U1050" s="85"/>
      <c r="V1050" s="85"/>
      <c r="W1050" s="85"/>
    </row>
    <row r="1051" spans="1:23" s="33" customFormat="1" ht="27.6" x14ac:dyDescent="0.25">
      <c r="A1051" s="34"/>
      <c r="B1051" s="43" t="s">
        <v>147</v>
      </c>
      <c r="C1051" s="40"/>
      <c r="D1051" s="40"/>
      <c r="E1051" s="40"/>
      <c r="F1051" s="40"/>
      <c r="G1051" s="40"/>
      <c r="H1051" s="40"/>
      <c r="I1051" s="40"/>
      <c r="J1051" s="40"/>
      <c r="K1051" s="40"/>
      <c r="L1051" s="40"/>
      <c r="M1051" s="59">
        <f t="shared" ref="M1051" si="294">+K1051</f>
        <v>0</v>
      </c>
      <c r="N1051" s="97" t="s">
        <v>5</v>
      </c>
      <c r="O1051" s="32"/>
      <c r="P1051" s="85"/>
      <c r="Q1051" s="126"/>
      <c r="R1051" s="126"/>
      <c r="S1051" s="126"/>
      <c r="T1051" s="85"/>
      <c r="U1051" s="85"/>
      <c r="V1051" s="85"/>
      <c r="W1051" s="85"/>
    </row>
    <row r="1052" spans="1:23" s="33" customFormat="1" ht="27.6" x14ac:dyDescent="0.25">
      <c r="A1052" s="34"/>
      <c r="B1052" s="43" t="s">
        <v>148</v>
      </c>
      <c r="C1052" s="40"/>
      <c r="D1052" s="40"/>
      <c r="E1052" s="40"/>
      <c r="F1052" s="40"/>
      <c r="G1052" s="40"/>
      <c r="H1052" s="40"/>
      <c r="I1052" s="40"/>
      <c r="J1052" s="40"/>
      <c r="K1052" s="40"/>
      <c r="L1052" s="40"/>
      <c r="M1052" s="59">
        <f t="shared" ref="M1052:M1057" si="295">+K1052</f>
        <v>0</v>
      </c>
      <c r="N1052" s="97" t="s">
        <v>5</v>
      </c>
      <c r="O1052" s="32"/>
      <c r="P1052" s="85"/>
      <c r="Q1052" s="126"/>
      <c r="R1052" s="126"/>
      <c r="S1052" s="126"/>
      <c r="T1052" s="85"/>
      <c r="U1052" s="85"/>
      <c r="V1052" s="85"/>
      <c r="W1052" s="85"/>
    </row>
    <row r="1053" spans="1:23" s="33" customFormat="1" ht="27.6" x14ac:dyDescent="0.25">
      <c r="A1053" s="34"/>
      <c r="B1053" s="43" t="s">
        <v>150</v>
      </c>
      <c r="C1053" s="40"/>
      <c r="D1053" s="40"/>
      <c r="E1053" s="40"/>
      <c r="F1053" s="40"/>
      <c r="G1053" s="40"/>
      <c r="H1053" s="40"/>
      <c r="I1053" s="40"/>
      <c r="J1053" s="40"/>
      <c r="K1053" s="40"/>
      <c r="L1053" s="40"/>
      <c r="M1053" s="131">
        <f t="shared" si="295"/>
        <v>0</v>
      </c>
      <c r="N1053" s="97" t="s">
        <v>5</v>
      </c>
      <c r="O1053" s="32"/>
      <c r="P1053" s="85"/>
      <c r="Q1053" s="126"/>
      <c r="R1053" s="126"/>
      <c r="S1053" s="126"/>
      <c r="T1053" s="85"/>
      <c r="U1053" s="85"/>
      <c r="V1053" s="85"/>
      <c r="W1053" s="85"/>
    </row>
    <row r="1054" spans="1:23" s="33" customFormat="1" ht="13.8" x14ac:dyDescent="0.25">
      <c r="A1054" s="34"/>
      <c r="B1054" s="43" t="s">
        <v>146</v>
      </c>
      <c r="C1054" s="40"/>
      <c r="D1054" s="40"/>
      <c r="E1054" s="40"/>
      <c r="F1054" s="40"/>
      <c r="G1054" s="40"/>
      <c r="H1054" s="40"/>
      <c r="I1054" s="40"/>
      <c r="J1054" s="40"/>
      <c r="K1054" s="40"/>
      <c r="L1054" s="40"/>
      <c r="M1054" s="59">
        <f>+K1054</f>
        <v>0</v>
      </c>
      <c r="N1054" s="97" t="s">
        <v>5</v>
      </c>
      <c r="O1054" s="32"/>
      <c r="P1054" s="85"/>
      <c r="Q1054" s="126"/>
      <c r="R1054" s="126"/>
      <c r="S1054" s="126"/>
      <c r="T1054" s="85"/>
      <c r="U1054" s="85"/>
      <c r="V1054" s="85"/>
      <c r="W1054" s="85"/>
    </row>
    <row r="1055" spans="1:23" s="33" customFormat="1" ht="27.6" x14ac:dyDescent="0.25">
      <c r="A1055" s="34"/>
      <c r="B1055" s="43" t="s">
        <v>151</v>
      </c>
      <c r="C1055" s="40"/>
      <c r="D1055" s="40"/>
      <c r="E1055" s="40"/>
      <c r="F1055" s="40"/>
      <c r="G1055" s="40"/>
      <c r="H1055" s="40"/>
      <c r="I1055" s="40"/>
      <c r="J1055" s="40"/>
      <c r="K1055" s="40"/>
      <c r="L1055" s="40"/>
      <c r="M1055" s="131">
        <f t="shared" si="295"/>
        <v>0</v>
      </c>
      <c r="N1055" s="97" t="s">
        <v>5</v>
      </c>
      <c r="O1055" s="32"/>
      <c r="P1055" s="85"/>
      <c r="Q1055" s="126"/>
      <c r="R1055" s="126"/>
      <c r="S1055" s="126"/>
      <c r="T1055" s="85"/>
      <c r="U1055" s="85"/>
      <c r="V1055" s="85"/>
      <c r="W1055" s="85"/>
    </row>
    <row r="1056" spans="1:23" s="33" customFormat="1" ht="13.8" x14ac:dyDescent="0.25">
      <c r="A1056" s="34"/>
      <c r="B1056" s="43" t="s">
        <v>145</v>
      </c>
      <c r="C1056" s="40"/>
      <c r="D1056" s="40"/>
      <c r="E1056" s="40"/>
      <c r="F1056" s="40"/>
      <c r="G1056" s="40"/>
      <c r="H1056" s="40"/>
      <c r="I1056" s="40"/>
      <c r="J1056" s="40"/>
      <c r="K1056" s="40"/>
      <c r="L1056" s="40"/>
      <c r="M1056" s="131">
        <f t="shared" ref="M1056" si="296">+K1056</f>
        <v>0</v>
      </c>
      <c r="N1056" s="97" t="s">
        <v>5</v>
      </c>
      <c r="O1056" s="32"/>
      <c r="P1056" s="85"/>
      <c r="Q1056" s="126"/>
      <c r="R1056" s="126"/>
      <c r="S1056" s="126"/>
      <c r="T1056" s="85"/>
      <c r="U1056" s="85"/>
      <c r="V1056" s="85"/>
      <c r="W1056" s="85"/>
    </row>
    <row r="1057" spans="1:23" s="33" customFormat="1" ht="13.8" x14ac:dyDescent="0.25">
      <c r="A1057" s="34"/>
      <c r="B1057" s="43" t="s">
        <v>144</v>
      </c>
      <c r="C1057" s="40"/>
      <c r="D1057" s="40"/>
      <c r="E1057" s="40"/>
      <c r="F1057" s="40"/>
      <c r="G1057" s="40"/>
      <c r="H1057" s="40"/>
      <c r="I1057" s="40"/>
      <c r="J1057" s="40"/>
      <c r="K1057" s="40"/>
      <c r="L1057" s="40"/>
      <c r="M1057" s="131">
        <f t="shared" si="295"/>
        <v>0</v>
      </c>
      <c r="N1057" s="97" t="s">
        <v>5</v>
      </c>
      <c r="O1057" s="32"/>
      <c r="P1057" s="85"/>
      <c r="Q1057" s="126"/>
      <c r="R1057" s="126"/>
      <c r="S1057" s="126"/>
      <c r="T1057" s="85"/>
      <c r="U1057" s="85"/>
      <c r="V1057" s="85"/>
      <c r="W1057" s="85"/>
    </row>
    <row r="1058" spans="1:23" s="33" customFormat="1" ht="13.8" x14ac:dyDescent="0.25">
      <c r="A1058" s="34"/>
      <c r="B1058" s="43"/>
      <c r="C1058" s="40"/>
      <c r="D1058" s="40"/>
      <c r="E1058" s="40"/>
      <c r="F1058" s="40"/>
      <c r="G1058" s="40"/>
      <c r="H1058" s="40"/>
      <c r="I1058" s="40"/>
      <c r="J1058" s="40"/>
      <c r="K1058" s="40"/>
      <c r="L1058" s="40"/>
      <c r="M1058" s="59"/>
      <c r="N1058" s="97"/>
      <c r="O1058" s="32"/>
      <c r="P1058" s="85"/>
      <c r="Q1058" s="126"/>
      <c r="R1058" s="126"/>
      <c r="S1058" s="126"/>
      <c r="T1058" s="85"/>
      <c r="U1058" s="85"/>
      <c r="V1058" s="85"/>
      <c r="W1058" s="85"/>
    </row>
    <row r="1059" spans="1:23" s="33" customFormat="1" ht="13.8" x14ac:dyDescent="0.25">
      <c r="A1059" s="34"/>
      <c r="B1059" s="58"/>
      <c r="C1059" s="40"/>
      <c r="D1059" s="40"/>
      <c r="E1059" s="40"/>
      <c r="F1059" s="40"/>
      <c r="G1059" s="40"/>
      <c r="H1059" s="40"/>
      <c r="I1059" s="40"/>
      <c r="J1059" s="40"/>
      <c r="K1059" s="40"/>
      <c r="L1059" s="40"/>
      <c r="M1059" s="59"/>
      <c r="N1059" s="96"/>
      <c r="O1059" s="32"/>
      <c r="P1059" s="85"/>
      <c r="Q1059" s="126"/>
      <c r="R1059" s="126"/>
      <c r="S1059" s="126"/>
      <c r="T1059" s="85"/>
      <c r="U1059" s="85"/>
      <c r="V1059" s="85"/>
      <c r="W1059" s="85"/>
    </row>
    <row r="1060" spans="1:23" s="33" customFormat="1" ht="13.8" x14ac:dyDescent="0.25">
      <c r="A1060" s="28" t="s">
        <v>28</v>
      </c>
      <c r="B1060" s="29" t="s">
        <v>41</v>
      </c>
      <c r="C1060" s="40"/>
      <c r="D1060" s="40"/>
      <c r="E1060" s="40"/>
      <c r="F1060" s="40"/>
      <c r="G1060" s="40"/>
      <c r="H1060" s="40"/>
      <c r="I1060" s="40"/>
      <c r="J1060" s="40"/>
      <c r="K1060" s="40"/>
      <c r="L1060" s="40"/>
      <c r="M1060" s="59"/>
      <c r="N1060" s="97"/>
      <c r="O1060" s="32"/>
      <c r="P1060" s="85"/>
      <c r="Q1060" s="126"/>
      <c r="R1060" s="126"/>
      <c r="S1060" s="126"/>
      <c r="T1060" s="85"/>
      <c r="U1060" s="85"/>
      <c r="V1060" s="85"/>
      <c r="W1060" s="85"/>
    </row>
    <row r="1061" spans="1:23" s="33" customFormat="1" ht="13.8" x14ac:dyDescent="0.25">
      <c r="A1061" s="34"/>
      <c r="B1061" s="44" t="s">
        <v>129</v>
      </c>
      <c r="C1061" s="40"/>
      <c r="D1061" s="40"/>
      <c r="E1061" s="40"/>
      <c r="F1061" s="40"/>
      <c r="G1061" s="40"/>
      <c r="H1061" s="40"/>
      <c r="I1061" s="40"/>
      <c r="J1061" s="40"/>
      <c r="K1061" s="40"/>
      <c r="L1061" s="40"/>
      <c r="M1061" s="59"/>
      <c r="N1061" s="96"/>
      <c r="O1061" s="32"/>
      <c r="P1061" s="85"/>
      <c r="Q1061" s="126"/>
      <c r="R1061" s="126"/>
      <c r="S1061" s="126"/>
      <c r="T1061" s="85"/>
      <c r="U1061" s="85"/>
      <c r="V1061" s="85"/>
      <c r="W1061" s="85"/>
    </row>
    <row r="1062" spans="1:23" s="33" customFormat="1" ht="13.8" x14ac:dyDescent="0.25">
      <c r="A1062" s="34"/>
      <c r="B1062" s="39" t="s">
        <v>131</v>
      </c>
      <c r="C1062" s="40"/>
      <c r="D1062" s="40"/>
      <c r="E1062" s="40"/>
      <c r="F1062" s="40"/>
      <c r="G1062" s="40"/>
      <c r="H1062" s="40"/>
      <c r="I1062" s="40"/>
      <c r="J1062" s="40"/>
      <c r="K1062" s="40"/>
      <c r="L1062" s="40"/>
      <c r="M1062" s="59"/>
      <c r="N1062" s="96"/>
      <c r="O1062" s="32"/>
      <c r="P1062" s="85"/>
      <c r="Q1062" s="126"/>
      <c r="R1062" s="126"/>
      <c r="S1062" s="126"/>
      <c r="T1062" s="85"/>
      <c r="U1062" s="85"/>
      <c r="V1062" s="85"/>
      <c r="W1062" s="85"/>
    </row>
    <row r="1063" spans="1:23" s="33" customFormat="1" ht="13.8" x14ac:dyDescent="0.25">
      <c r="A1063" s="34"/>
      <c r="B1063" s="39" t="s">
        <v>130</v>
      </c>
      <c r="C1063" s="40"/>
      <c r="D1063" s="40"/>
      <c r="E1063" s="40"/>
      <c r="F1063" s="40"/>
      <c r="G1063" s="40"/>
      <c r="H1063" s="40"/>
      <c r="I1063" s="40"/>
      <c r="J1063" s="40"/>
      <c r="K1063" s="40"/>
      <c r="L1063" s="40"/>
      <c r="M1063" s="59"/>
      <c r="N1063" s="96"/>
      <c r="O1063" s="32"/>
      <c r="P1063" s="85"/>
      <c r="Q1063" s="126"/>
      <c r="R1063" s="126"/>
      <c r="S1063" s="126"/>
      <c r="T1063" s="85"/>
      <c r="U1063" s="85"/>
      <c r="V1063" s="85"/>
      <c r="W1063" s="85"/>
    </row>
    <row r="1064" spans="1:23" s="33" customFormat="1" ht="13.8" x14ac:dyDescent="0.25">
      <c r="A1064" s="34"/>
      <c r="B1064" s="39"/>
      <c r="C1064" s="40"/>
      <c r="D1064" s="40"/>
      <c r="E1064" s="40"/>
      <c r="F1064" s="40"/>
      <c r="G1064" s="40"/>
      <c r="H1064" s="40"/>
      <c r="I1064" s="40"/>
      <c r="J1064" s="40"/>
      <c r="K1064" s="40"/>
      <c r="L1064" s="40"/>
      <c r="M1064" s="59"/>
      <c r="N1064" s="96"/>
      <c r="O1064" s="32"/>
      <c r="P1064" s="85"/>
      <c r="Q1064" s="126"/>
      <c r="R1064" s="126"/>
      <c r="S1064" s="126"/>
      <c r="T1064" s="85"/>
      <c r="U1064" s="85"/>
      <c r="V1064" s="85"/>
      <c r="W1064" s="85"/>
    </row>
    <row r="1065" spans="1:23" s="33" customFormat="1" ht="13.8" x14ac:dyDescent="0.25">
      <c r="A1065" s="34"/>
      <c r="B1065" s="39"/>
      <c r="C1065" s="40"/>
      <c r="D1065" s="40"/>
      <c r="E1065" s="40"/>
      <c r="F1065" s="40"/>
      <c r="G1065" s="40"/>
      <c r="H1065" s="40"/>
      <c r="I1065" s="40"/>
      <c r="J1065" s="40"/>
      <c r="K1065" s="40"/>
      <c r="L1065" s="40"/>
      <c r="M1065" s="59"/>
      <c r="N1065" s="96"/>
      <c r="O1065" s="32"/>
      <c r="P1065" s="85"/>
      <c r="Q1065" s="126"/>
      <c r="R1065" s="126"/>
      <c r="S1065" s="126"/>
      <c r="T1065" s="85"/>
      <c r="U1065" s="85"/>
      <c r="V1065" s="85"/>
      <c r="W1065" s="85"/>
    </row>
    <row r="1066" spans="1:23" s="33" customFormat="1" ht="13.8" x14ac:dyDescent="0.25">
      <c r="A1066" s="34"/>
      <c r="B1066" s="39"/>
      <c r="C1066" s="40"/>
      <c r="D1066" s="40"/>
      <c r="E1066" s="40"/>
      <c r="F1066" s="40"/>
      <c r="G1066" s="40"/>
      <c r="H1066" s="40"/>
      <c r="I1066" s="40"/>
      <c r="J1066" s="40"/>
      <c r="K1066" s="40"/>
      <c r="L1066" s="40"/>
      <c r="M1066" s="59"/>
      <c r="N1066" s="96"/>
      <c r="O1066" s="32"/>
      <c r="P1066" s="85"/>
      <c r="Q1066" s="126"/>
      <c r="R1066" s="126"/>
      <c r="S1066" s="126"/>
      <c r="T1066" s="85"/>
      <c r="U1066" s="85"/>
      <c r="V1066" s="85"/>
      <c r="W1066" s="85"/>
    </row>
    <row r="1067" spans="1:23" s="33" customFormat="1" ht="13.8" x14ac:dyDescent="0.25">
      <c r="A1067" s="34"/>
      <c r="B1067" s="58"/>
      <c r="C1067" s="40"/>
      <c r="D1067" s="40"/>
      <c r="E1067" s="40"/>
      <c r="F1067" s="40"/>
      <c r="G1067" s="40"/>
      <c r="H1067" s="40"/>
      <c r="I1067" s="40"/>
      <c r="J1067" s="40"/>
      <c r="K1067" s="40"/>
      <c r="L1067" s="40"/>
      <c r="M1067" s="59"/>
      <c r="N1067" s="96"/>
      <c r="O1067" s="32"/>
      <c r="P1067" s="85"/>
      <c r="Q1067" s="126"/>
      <c r="R1067" s="126"/>
      <c r="S1067" s="126"/>
      <c r="T1067" s="85"/>
      <c r="U1067" s="85"/>
      <c r="V1067" s="85"/>
      <c r="W1067" s="85"/>
    </row>
    <row r="1068" spans="1:23" s="33" customFormat="1" ht="13.8" x14ac:dyDescent="0.25">
      <c r="A1068" s="28" t="s">
        <v>31</v>
      </c>
      <c r="B1068" s="29" t="s">
        <v>46</v>
      </c>
      <c r="C1068" s="40"/>
      <c r="D1068" s="40"/>
      <c r="E1068" s="40"/>
      <c r="F1068" s="40"/>
      <c r="G1068" s="40"/>
      <c r="H1068" s="40"/>
      <c r="I1068" s="40"/>
      <c r="J1068" s="40"/>
      <c r="K1068" s="40"/>
      <c r="L1068" s="40"/>
      <c r="M1068" s="59"/>
      <c r="N1068" s="96"/>
      <c r="O1068" s="32"/>
      <c r="P1068" s="85"/>
      <c r="Q1068" s="126"/>
      <c r="R1068" s="126"/>
      <c r="S1068" s="126"/>
      <c r="T1068" s="85"/>
      <c r="U1068" s="85"/>
      <c r="V1068" s="85"/>
      <c r="W1068" s="85"/>
    </row>
    <row r="1069" spans="1:23" s="33" customFormat="1" ht="13.8" x14ac:dyDescent="0.25">
      <c r="A1069" s="34"/>
      <c r="B1069" s="44" t="s">
        <v>47</v>
      </c>
      <c r="C1069" s="40"/>
      <c r="D1069" s="40"/>
      <c r="E1069" s="40"/>
      <c r="F1069" s="40"/>
      <c r="G1069" s="40"/>
      <c r="H1069" s="40"/>
      <c r="I1069" s="40"/>
      <c r="J1069" s="40"/>
      <c r="K1069" s="40"/>
      <c r="L1069" s="40"/>
      <c r="M1069" s="59"/>
      <c r="N1069" s="96"/>
      <c r="O1069" s="32"/>
      <c r="P1069" s="85"/>
      <c r="Q1069" s="126"/>
      <c r="R1069" s="126"/>
      <c r="S1069" s="126"/>
      <c r="T1069" s="85"/>
      <c r="U1069" s="85"/>
      <c r="V1069" s="85"/>
      <c r="W1069" s="85"/>
    </row>
    <row r="1070" spans="1:23" s="33" customFormat="1" ht="13.8" x14ac:dyDescent="0.25">
      <c r="A1070" s="34"/>
      <c r="B1070" s="35" t="s">
        <v>48</v>
      </c>
      <c r="C1070" s="40"/>
      <c r="D1070" s="40"/>
      <c r="E1070" s="40"/>
      <c r="F1070" s="40"/>
      <c r="G1070" s="40"/>
      <c r="H1070" s="40"/>
      <c r="I1070" s="40"/>
      <c r="J1070" s="40"/>
      <c r="K1070" s="40"/>
      <c r="L1070" s="40"/>
      <c r="M1070" s="59"/>
      <c r="N1070" s="96"/>
      <c r="O1070" s="32"/>
      <c r="P1070" s="85"/>
      <c r="Q1070" s="126"/>
      <c r="R1070" s="126"/>
      <c r="S1070" s="126"/>
      <c r="T1070" s="85"/>
      <c r="U1070" s="85"/>
      <c r="V1070" s="85"/>
      <c r="W1070" s="85"/>
    </row>
    <row r="1071" spans="1:23" s="33" customFormat="1" ht="13.8" x14ac:dyDescent="0.25">
      <c r="A1071" s="34"/>
      <c r="B1071" s="35" t="s">
        <v>49</v>
      </c>
      <c r="C1071" s="40"/>
      <c r="D1071" s="40"/>
      <c r="E1071" s="40"/>
      <c r="F1071" s="40"/>
      <c r="G1071" s="40"/>
      <c r="H1071" s="40"/>
      <c r="I1071" s="40"/>
      <c r="J1071" s="40"/>
      <c r="K1071" s="40"/>
      <c r="L1071" s="40"/>
      <c r="M1071" s="59">
        <f>+C1071</f>
        <v>0</v>
      </c>
      <c r="N1071" s="97" t="s">
        <v>5</v>
      </c>
      <c r="O1071" s="32"/>
      <c r="P1071" s="85"/>
      <c r="Q1071" s="126"/>
      <c r="R1071" s="126"/>
      <c r="S1071" s="126"/>
      <c r="T1071" s="85"/>
      <c r="U1071" s="85"/>
      <c r="V1071" s="85"/>
      <c r="W1071" s="85"/>
    </row>
    <row r="1072" spans="1:23" s="33" customFormat="1" ht="13.8" x14ac:dyDescent="0.25">
      <c r="A1072" s="34"/>
      <c r="B1072" s="35" t="s">
        <v>50</v>
      </c>
      <c r="C1072" s="40"/>
      <c r="D1072" s="40"/>
      <c r="E1072" s="40"/>
      <c r="F1072" s="40"/>
      <c r="G1072" s="40"/>
      <c r="H1072" s="40"/>
      <c r="I1072" s="40"/>
      <c r="J1072" s="40"/>
      <c r="K1072" s="40"/>
      <c r="L1072" s="40"/>
      <c r="M1072" s="59">
        <f t="shared" ref="M1072:M1080" si="297">+C1072</f>
        <v>0</v>
      </c>
      <c r="N1072" s="97" t="s">
        <v>5</v>
      </c>
      <c r="O1072" s="32"/>
      <c r="P1072" s="85"/>
      <c r="Q1072" s="126"/>
      <c r="R1072" s="126"/>
      <c r="S1072" s="126"/>
      <c r="T1072" s="85"/>
      <c r="U1072" s="85"/>
      <c r="V1072" s="85"/>
      <c r="W1072" s="85"/>
    </row>
    <row r="1073" spans="1:23" s="33" customFormat="1" ht="13.8" x14ac:dyDescent="0.25">
      <c r="A1073" s="34"/>
      <c r="B1073" s="35" t="s">
        <v>70</v>
      </c>
      <c r="C1073" s="40"/>
      <c r="D1073" s="40"/>
      <c r="E1073" s="40"/>
      <c r="F1073" s="40"/>
      <c r="G1073" s="40"/>
      <c r="H1073" s="40"/>
      <c r="I1073" s="40"/>
      <c r="J1073" s="40"/>
      <c r="K1073" s="40"/>
      <c r="L1073" s="40"/>
      <c r="M1073" s="59">
        <f t="shared" si="297"/>
        <v>0</v>
      </c>
      <c r="N1073" s="97" t="s">
        <v>5</v>
      </c>
      <c r="O1073" s="32"/>
      <c r="P1073" s="85"/>
      <c r="Q1073" s="126"/>
      <c r="R1073" s="126"/>
      <c r="S1073" s="126"/>
      <c r="T1073" s="85"/>
      <c r="U1073" s="85"/>
      <c r="V1073" s="85"/>
      <c r="W1073" s="85"/>
    </row>
    <row r="1074" spans="1:23" s="33" customFormat="1" ht="13.8" x14ac:dyDescent="0.25">
      <c r="A1074" s="34"/>
      <c r="B1074" s="35" t="s">
        <v>51</v>
      </c>
      <c r="C1074" s="40"/>
      <c r="D1074" s="40"/>
      <c r="E1074" s="40"/>
      <c r="F1074" s="40"/>
      <c r="G1074" s="40"/>
      <c r="H1074" s="40"/>
      <c r="I1074" s="40"/>
      <c r="J1074" s="40"/>
      <c r="K1074" s="40"/>
      <c r="L1074" s="40"/>
      <c r="M1074" s="59">
        <f t="shared" si="297"/>
        <v>0</v>
      </c>
      <c r="N1074" s="97" t="s">
        <v>5</v>
      </c>
      <c r="O1074" s="32"/>
      <c r="P1074" s="85"/>
      <c r="Q1074" s="126"/>
      <c r="R1074" s="126"/>
      <c r="S1074" s="126"/>
      <c r="T1074" s="85"/>
      <c r="U1074" s="85"/>
      <c r="V1074" s="85"/>
      <c r="W1074" s="85"/>
    </row>
    <row r="1075" spans="1:23" s="33" customFormat="1" ht="13.8" x14ac:dyDescent="0.25">
      <c r="A1075" s="34"/>
      <c r="B1075" s="35" t="s">
        <v>125</v>
      </c>
      <c r="C1075" s="40"/>
      <c r="D1075" s="40"/>
      <c r="E1075" s="40"/>
      <c r="F1075" s="40"/>
      <c r="G1075" s="40"/>
      <c r="H1075" s="40"/>
      <c r="I1075" s="40"/>
      <c r="J1075" s="40"/>
      <c r="K1075" s="40"/>
      <c r="L1075" s="40"/>
      <c r="M1075" s="59">
        <f t="shared" si="297"/>
        <v>0</v>
      </c>
      <c r="N1075" s="97" t="s">
        <v>5</v>
      </c>
      <c r="O1075" s="32"/>
      <c r="P1075" s="85"/>
      <c r="Q1075" s="126"/>
      <c r="R1075" s="126"/>
      <c r="S1075" s="126"/>
      <c r="T1075" s="85"/>
      <c r="U1075" s="85"/>
      <c r="V1075" s="85"/>
      <c r="W1075" s="85"/>
    </row>
    <row r="1076" spans="1:23" s="33" customFormat="1" ht="13.8" x14ac:dyDescent="0.25">
      <c r="A1076" s="34"/>
      <c r="B1076" s="35" t="s">
        <v>52</v>
      </c>
      <c r="C1076" s="40"/>
      <c r="D1076" s="40"/>
      <c r="E1076" s="40"/>
      <c r="F1076" s="40"/>
      <c r="G1076" s="40"/>
      <c r="H1076" s="40"/>
      <c r="I1076" s="40"/>
      <c r="J1076" s="40"/>
      <c r="K1076" s="40"/>
      <c r="L1076" s="40"/>
      <c r="M1076" s="59">
        <f t="shared" si="297"/>
        <v>0</v>
      </c>
      <c r="N1076" s="97" t="s">
        <v>5</v>
      </c>
      <c r="O1076" s="32"/>
      <c r="P1076" s="85"/>
      <c r="Q1076" s="126"/>
      <c r="R1076" s="126"/>
      <c r="S1076" s="126"/>
      <c r="T1076" s="85"/>
      <c r="U1076" s="85"/>
      <c r="V1076" s="85"/>
      <c r="W1076" s="85"/>
    </row>
    <row r="1077" spans="1:23" s="33" customFormat="1" ht="13.8" x14ac:dyDescent="0.25">
      <c r="A1077" s="34"/>
      <c r="B1077" s="35" t="s">
        <v>113</v>
      </c>
      <c r="C1077" s="40"/>
      <c r="D1077" s="40"/>
      <c r="E1077" s="40"/>
      <c r="F1077" s="40"/>
      <c r="G1077" s="40"/>
      <c r="H1077" s="40"/>
      <c r="I1077" s="40"/>
      <c r="J1077" s="40"/>
      <c r="K1077" s="40"/>
      <c r="L1077" s="40"/>
      <c r="M1077" s="59">
        <f t="shared" si="297"/>
        <v>0</v>
      </c>
      <c r="N1077" s="97" t="s">
        <v>5</v>
      </c>
      <c r="O1077" s="32"/>
      <c r="P1077" s="85"/>
      <c r="Q1077" s="126"/>
      <c r="R1077" s="126"/>
      <c r="S1077" s="126"/>
      <c r="T1077" s="85"/>
      <c r="U1077" s="85"/>
      <c r="V1077" s="85"/>
      <c r="W1077" s="85"/>
    </row>
    <row r="1078" spans="1:23" s="33" customFormat="1" ht="13.8" x14ac:dyDescent="0.25">
      <c r="A1078" s="34"/>
      <c r="B1078" s="35" t="s">
        <v>135</v>
      </c>
      <c r="C1078" s="40"/>
      <c r="D1078" s="40"/>
      <c r="E1078" s="40"/>
      <c r="F1078" s="40"/>
      <c r="G1078" s="40"/>
      <c r="H1078" s="40"/>
      <c r="I1078" s="40"/>
      <c r="J1078" s="40"/>
      <c r="K1078" s="40"/>
      <c r="L1078" s="40"/>
      <c r="M1078" s="59">
        <f t="shared" si="297"/>
        <v>0</v>
      </c>
      <c r="N1078" s="97" t="s">
        <v>5</v>
      </c>
      <c r="O1078" s="32"/>
      <c r="P1078" s="85"/>
      <c r="Q1078" s="126"/>
      <c r="R1078" s="126"/>
      <c r="S1078" s="126"/>
      <c r="T1078" s="85"/>
      <c r="U1078" s="85"/>
      <c r="V1078" s="85"/>
      <c r="W1078" s="85"/>
    </row>
    <row r="1079" spans="1:23" s="33" customFormat="1" ht="13.8" x14ac:dyDescent="0.25">
      <c r="A1079" s="34"/>
      <c r="B1079" s="35" t="s">
        <v>136</v>
      </c>
      <c r="C1079" s="40"/>
      <c r="D1079" s="40"/>
      <c r="E1079" s="40"/>
      <c r="F1079" s="40"/>
      <c r="G1079" s="40"/>
      <c r="H1079" s="40"/>
      <c r="I1079" s="40"/>
      <c r="J1079" s="40"/>
      <c r="K1079" s="40"/>
      <c r="L1079" s="40"/>
      <c r="M1079" s="59">
        <f t="shared" ref="M1079" si="298">+C1079</f>
        <v>0</v>
      </c>
      <c r="N1079" s="97" t="s">
        <v>5</v>
      </c>
      <c r="O1079" s="32"/>
      <c r="P1079" s="85"/>
      <c r="Q1079" s="126"/>
      <c r="R1079" s="126"/>
      <c r="S1079" s="126"/>
      <c r="T1079" s="85"/>
      <c r="U1079" s="85"/>
      <c r="V1079" s="85"/>
      <c r="W1079" s="85"/>
    </row>
    <row r="1080" spans="1:23" s="33" customFormat="1" ht="13.8" x14ac:dyDescent="0.25">
      <c r="A1080" s="34"/>
      <c r="B1080" s="35" t="s">
        <v>103</v>
      </c>
      <c r="C1080" s="40"/>
      <c r="D1080" s="40"/>
      <c r="E1080" s="40"/>
      <c r="F1080" s="40"/>
      <c r="G1080" s="40"/>
      <c r="H1080" s="40"/>
      <c r="I1080" s="40"/>
      <c r="J1080" s="40"/>
      <c r="K1080" s="40"/>
      <c r="L1080" s="40"/>
      <c r="M1080" s="59">
        <f t="shared" si="297"/>
        <v>0</v>
      </c>
      <c r="N1080" s="97" t="s">
        <v>5</v>
      </c>
      <c r="O1080" s="32"/>
      <c r="P1080" s="85"/>
      <c r="Q1080" s="126"/>
      <c r="R1080" s="126"/>
      <c r="S1080" s="126"/>
      <c r="T1080" s="85"/>
      <c r="U1080" s="85"/>
      <c r="V1080" s="85"/>
      <c r="W1080" s="85"/>
    </row>
    <row r="1081" spans="1:23" s="33" customFormat="1" ht="13.8" x14ac:dyDescent="0.25">
      <c r="A1081" s="28" t="s">
        <v>31</v>
      </c>
      <c r="B1081" s="29" t="s">
        <v>39</v>
      </c>
      <c r="C1081" s="40"/>
      <c r="D1081" s="40"/>
      <c r="E1081" s="40"/>
      <c r="F1081" s="40"/>
      <c r="G1081" s="40"/>
      <c r="H1081" s="40"/>
      <c r="I1081" s="40"/>
      <c r="J1081" s="40"/>
      <c r="K1081" s="40"/>
      <c r="L1081" s="40"/>
      <c r="M1081" s="59"/>
      <c r="N1081" s="96"/>
      <c r="O1081" s="32"/>
      <c r="P1081" s="85"/>
      <c r="Q1081" s="126"/>
      <c r="R1081" s="126"/>
      <c r="S1081" s="126"/>
      <c r="T1081" s="85"/>
      <c r="U1081" s="85"/>
      <c r="V1081" s="85"/>
      <c r="W1081" s="85"/>
    </row>
    <row r="1082" spans="1:23" s="33" customFormat="1" ht="44.25" customHeight="1" x14ac:dyDescent="0.25">
      <c r="A1082" s="34"/>
      <c r="B1082" s="35" t="s">
        <v>53</v>
      </c>
      <c r="C1082" s="40"/>
      <c r="D1082" s="40"/>
      <c r="E1082" s="40"/>
      <c r="F1082" s="40"/>
      <c r="G1082" s="40"/>
      <c r="H1082" s="40"/>
      <c r="I1082" s="40"/>
      <c r="J1082" s="40"/>
      <c r="K1082" s="40"/>
      <c r="L1082" s="40"/>
      <c r="M1082" s="59"/>
      <c r="N1082" s="96"/>
      <c r="O1082" s="32"/>
      <c r="P1082" s="85"/>
      <c r="Q1082" s="126"/>
      <c r="R1082" s="126"/>
      <c r="S1082" s="126"/>
      <c r="T1082" s="85"/>
      <c r="U1082" s="85"/>
      <c r="V1082" s="85"/>
      <c r="W1082" s="85"/>
    </row>
    <row r="1083" spans="1:23" s="33" customFormat="1" ht="13.8" x14ac:dyDescent="0.25">
      <c r="A1083" s="62"/>
      <c r="B1083" s="62" t="s">
        <v>62</v>
      </c>
      <c r="C1083" s="40"/>
      <c r="D1083" s="40"/>
      <c r="E1083" s="40"/>
      <c r="F1083" s="40"/>
      <c r="G1083" s="40"/>
      <c r="H1083" s="40"/>
      <c r="I1083" s="40"/>
      <c r="J1083" s="40"/>
      <c r="K1083" s="40"/>
      <c r="L1083" s="40"/>
      <c r="M1083" s="59"/>
      <c r="N1083" s="96"/>
      <c r="O1083" s="32"/>
      <c r="P1083" s="85"/>
      <c r="Q1083" s="126"/>
      <c r="R1083" s="126"/>
      <c r="S1083" s="126"/>
      <c r="T1083" s="85"/>
      <c r="U1083" s="85"/>
      <c r="V1083" s="85"/>
      <c r="W1083" s="85"/>
    </row>
    <row r="1084" spans="1:23" s="33" customFormat="1" ht="13.8" x14ac:dyDescent="0.25">
      <c r="A1084" s="63"/>
      <c r="B1084" s="62" t="s">
        <v>65</v>
      </c>
      <c r="C1084" s="40"/>
      <c r="D1084" s="40"/>
      <c r="E1084" s="40"/>
      <c r="F1084" s="40"/>
      <c r="G1084" s="40"/>
      <c r="H1084" s="40"/>
      <c r="I1084" s="40"/>
      <c r="J1084" s="40"/>
      <c r="K1084" s="40"/>
      <c r="L1084" s="40"/>
      <c r="M1084" s="59"/>
      <c r="N1084" s="96"/>
      <c r="O1084" s="32"/>
      <c r="P1084" s="85"/>
      <c r="Q1084" s="126"/>
      <c r="R1084" s="126"/>
      <c r="S1084" s="126"/>
      <c r="T1084" s="85"/>
      <c r="U1084" s="85"/>
      <c r="V1084" s="85"/>
      <c r="W1084" s="85"/>
    </row>
    <row r="1085" spans="1:23" s="33" customFormat="1" ht="13.8" x14ac:dyDescent="0.25">
      <c r="A1085" s="63"/>
      <c r="B1085" s="62" t="s">
        <v>63</v>
      </c>
      <c r="C1085" s="40"/>
      <c r="D1085" s="40"/>
      <c r="E1085" s="40"/>
      <c r="F1085" s="40"/>
      <c r="G1085" s="40"/>
      <c r="H1085" s="40"/>
      <c r="I1085" s="40"/>
      <c r="J1085" s="40"/>
      <c r="K1085" s="40"/>
      <c r="L1085" s="40"/>
      <c r="M1085" s="59"/>
      <c r="N1085" s="96"/>
      <c r="O1085" s="32"/>
      <c r="P1085" s="85"/>
      <c r="Q1085" s="126"/>
      <c r="R1085" s="126"/>
      <c r="S1085" s="126"/>
      <c r="T1085" s="85"/>
      <c r="U1085" s="85"/>
      <c r="V1085" s="85"/>
      <c r="W1085" s="85"/>
    </row>
    <row r="1086" spans="1:23" s="33" customFormat="1" ht="13.8" x14ac:dyDescent="0.25">
      <c r="A1086" s="63"/>
      <c r="B1086" s="62" t="s">
        <v>64</v>
      </c>
      <c r="C1086" s="40"/>
      <c r="D1086" s="40"/>
      <c r="E1086" s="40"/>
      <c r="F1086" s="40"/>
      <c r="G1086" s="40"/>
      <c r="H1086" s="40"/>
      <c r="I1086" s="40"/>
      <c r="J1086" s="40"/>
      <c r="K1086" s="40"/>
      <c r="L1086" s="40"/>
      <c r="M1086" s="59"/>
      <c r="N1086" s="96"/>
      <c r="O1086" s="32"/>
      <c r="P1086" s="85"/>
      <c r="Q1086" s="126"/>
      <c r="R1086" s="126"/>
      <c r="S1086" s="126"/>
      <c r="T1086" s="85"/>
      <c r="U1086" s="85"/>
      <c r="V1086" s="85"/>
      <c r="W1086" s="85"/>
    </row>
    <row r="1087" spans="1:23" s="33" customFormat="1" ht="13.8" x14ac:dyDescent="0.25">
      <c r="A1087" s="63"/>
      <c r="B1087" s="62" t="s">
        <v>66</v>
      </c>
      <c r="C1087" s="40"/>
      <c r="D1087" s="40"/>
      <c r="E1087" s="40"/>
      <c r="F1087" s="40"/>
      <c r="G1087" s="40"/>
      <c r="H1087" s="40"/>
      <c r="I1087" s="40"/>
      <c r="J1087" s="40"/>
      <c r="K1087" s="40"/>
      <c r="L1087" s="40"/>
      <c r="M1087" s="59"/>
      <c r="N1087" s="96"/>
      <c r="O1087" s="32"/>
      <c r="P1087" s="85"/>
      <c r="Q1087" s="126"/>
      <c r="R1087" s="126"/>
      <c r="S1087" s="126"/>
      <c r="T1087" s="85"/>
      <c r="U1087" s="85"/>
      <c r="V1087" s="85"/>
      <c r="W1087" s="85"/>
    </row>
    <row r="1088" spans="1:23" s="33" customFormat="1" ht="13.8" x14ac:dyDescent="0.25">
      <c r="A1088" s="63"/>
      <c r="B1088" s="62" t="s">
        <v>127</v>
      </c>
      <c r="C1088" s="40"/>
      <c r="D1088" s="40"/>
      <c r="E1088" s="40"/>
      <c r="F1088" s="40"/>
      <c r="G1088" s="40"/>
      <c r="H1088" s="40"/>
      <c r="I1088" s="40"/>
      <c r="J1088" s="40"/>
      <c r="K1088" s="40"/>
      <c r="L1088" s="40"/>
      <c r="M1088" s="59"/>
      <c r="N1088" s="96"/>
      <c r="O1088" s="32"/>
      <c r="P1088" s="85"/>
      <c r="Q1088" s="126"/>
      <c r="R1088" s="126"/>
      <c r="S1088" s="126"/>
      <c r="T1088" s="85"/>
      <c r="U1088" s="85"/>
      <c r="V1088" s="85"/>
      <c r="W1088" s="85"/>
    </row>
    <row r="1089" spans="1:23" s="33" customFormat="1" ht="13.8" x14ac:dyDescent="0.25">
      <c r="A1089" s="63"/>
      <c r="B1089" s="62"/>
      <c r="C1089" s="40"/>
      <c r="D1089" s="40"/>
      <c r="E1089" s="40"/>
      <c r="F1089" s="40"/>
      <c r="G1089" s="40"/>
      <c r="H1089" s="40"/>
      <c r="I1089" s="40"/>
      <c r="J1089" s="40"/>
      <c r="K1089" s="40"/>
      <c r="L1089" s="40"/>
      <c r="M1089" s="59"/>
      <c r="N1089" s="96"/>
      <c r="O1089" s="32"/>
      <c r="P1089" s="85"/>
      <c r="Q1089" s="126"/>
      <c r="R1089" s="126"/>
      <c r="S1089" s="126"/>
      <c r="T1089" s="85"/>
      <c r="U1089" s="85"/>
      <c r="V1089" s="85"/>
      <c r="W1089" s="85"/>
    </row>
    <row r="1090" spans="1:23" s="33" customFormat="1" ht="13.8" x14ac:dyDescent="0.25">
      <c r="A1090" s="28" t="s">
        <v>81</v>
      </c>
      <c r="B1090" s="29" t="s">
        <v>112</v>
      </c>
      <c r="C1090" s="40"/>
      <c r="D1090" s="40"/>
      <c r="E1090" s="40"/>
      <c r="F1090" s="40"/>
      <c r="G1090" s="40"/>
      <c r="H1090" s="40"/>
      <c r="I1090" s="40"/>
      <c r="J1090" s="40"/>
      <c r="K1090" s="40"/>
      <c r="L1090" s="40"/>
      <c r="M1090" s="59"/>
      <c r="N1090" s="97"/>
      <c r="O1090" s="32"/>
      <c r="P1090" s="85"/>
      <c r="Q1090" s="126"/>
      <c r="R1090" s="126"/>
      <c r="S1090" s="126"/>
      <c r="T1090" s="85"/>
      <c r="U1090" s="85"/>
      <c r="V1090" s="85"/>
      <c r="W1090" s="85"/>
    </row>
    <row r="1091" spans="1:23" s="33" customFormat="1" ht="13.8" x14ac:dyDescent="0.25">
      <c r="A1091" s="63"/>
      <c r="B1091" s="62" t="s">
        <v>114</v>
      </c>
      <c r="C1091" s="40"/>
      <c r="D1091" s="40"/>
      <c r="E1091" s="40"/>
      <c r="F1091" s="40"/>
      <c r="G1091" s="40"/>
      <c r="H1091" s="40"/>
      <c r="I1091" s="40"/>
      <c r="J1091" s="40"/>
      <c r="K1091" s="40"/>
      <c r="L1091" s="40"/>
      <c r="M1091" s="59"/>
      <c r="N1091" s="97"/>
      <c r="O1091" s="32"/>
      <c r="P1091" s="85"/>
      <c r="Q1091" s="126"/>
      <c r="R1091" s="126"/>
      <c r="S1091" s="126"/>
      <c r="T1091" s="85"/>
      <c r="U1091" s="85"/>
      <c r="V1091" s="85"/>
      <c r="W1091" s="85"/>
    </row>
    <row r="1092" spans="1:23" s="33" customFormat="1" ht="13.8" x14ac:dyDescent="0.25">
      <c r="A1092" s="63"/>
      <c r="B1092" s="62" t="s">
        <v>115</v>
      </c>
      <c r="C1092" s="40"/>
      <c r="D1092" s="40"/>
      <c r="E1092" s="40"/>
      <c r="F1092" s="40"/>
      <c r="G1092" s="40"/>
      <c r="H1092" s="40"/>
      <c r="I1092" s="40"/>
      <c r="J1092" s="40"/>
      <c r="K1092" s="40"/>
      <c r="L1092" s="40"/>
      <c r="M1092" s="59"/>
      <c r="N1092" s="97"/>
      <c r="O1092" s="32"/>
      <c r="P1092" s="85"/>
      <c r="Q1092" s="126"/>
      <c r="R1092" s="126"/>
      <c r="S1092" s="126"/>
      <c r="T1092" s="85"/>
      <c r="U1092" s="85"/>
      <c r="V1092" s="85"/>
      <c r="W1092" s="85"/>
    </row>
    <row r="1093" spans="1:23" ht="13.8" x14ac:dyDescent="0.25">
      <c r="C1093" s="40"/>
      <c r="D1093" s="40"/>
      <c r="E1093" s="40"/>
      <c r="F1093" s="40"/>
      <c r="G1093" s="40"/>
      <c r="H1093" s="40"/>
      <c r="I1093" s="40"/>
      <c r="J1093" s="40"/>
      <c r="M1093" s="140"/>
      <c r="N1093" s="141"/>
    </row>
    <row r="1094" spans="1:23" s="33" customFormat="1" ht="13.8" x14ac:dyDescent="0.25">
      <c r="A1094" s="28" t="s">
        <v>82</v>
      </c>
      <c r="B1094" s="29" t="s">
        <v>118</v>
      </c>
      <c r="C1094" s="40"/>
      <c r="D1094" s="40"/>
      <c r="E1094" s="40"/>
      <c r="F1094" s="40"/>
      <c r="G1094" s="40"/>
      <c r="H1094" s="40"/>
      <c r="I1094" s="40"/>
      <c r="J1094" s="40"/>
      <c r="K1094" s="40"/>
      <c r="L1094" s="40"/>
      <c r="M1094" s="59"/>
      <c r="N1094" s="97"/>
      <c r="O1094" s="32"/>
      <c r="P1094" s="85"/>
      <c r="Q1094" s="126"/>
      <c r="R1094" s="126"/>
      <c r="S1094" s="126"/>
      <c r="T1094" s="85"/>
      <c r="U1094" s="85"/>
      <c r="V1094" s="85"/>
      <c r="W1094" s="85"/>
    </row>
    <row r="1095" spans="1:23" s="33" customFormat="1" ht="13.8" x14ac:dyDescent="0.25">
      <c r="A1095" s="28"/>
      <c r="B1095" s="29"/>
      <c r="C1095" s="40"/>
      <c r="D1095" s="40"/>
      <c r="E1095" s="40"/>
      <c r="F1095" s="40"/>
      <c r="G1095" s="40"/>
      <c r="H1095" s="40"/>
      <c r="I1095" s="40"/>
      <c r="J1095" s="40"/>
      <c r="K1095" s="40"/>
      <c r="L1095" s="40"/>
      <c r="M1095" s="59"/>
      <c r="N1095" s="97"/>
      <c r="O1095" s="32"/>
      <c r="P1095" s="85"/>
      <c r="Q1095" s="126"/>
      <c r="R1095" s="126"/>
      <c r="S1095" s="126"/>
      <c r="T1095" s="85"/>
      <c r="U1095" s="85"/>
      <c r="V1095" s="85"/>
      <c r="W1095" s="85"/>
    </row>
    <row r="1096" spans="1:23" s="33" customFormat="1" ht="13.8" x14ac:dyDescent="0.25">
      <c r="A1096" s="28"/>
      <c r="B1096" s="29"/>
      <c r="C1096" s="40"/>
      <c r="D1096" s="40"/>
      <c r="E1096" s="40"/>
      <c r="F1096" s="40"/>
      <c r="G1096" s="40"/>
      <c r="H1096" s="40"/>
      <c r="I1096" s="40"/>
      <c r="J1096" s="40"/>
      <c r="K1096" s="40"/>
      <c r="L1096" s="40"/>
      <c r="M1096" s="59"/>
      <c r="N1096" s="97"/>
      <c r="O1096" s="32"/>
      <c r="P1096" s="85"/>
      <c r="Q1096" s="126"/>
      <c r="R1096" s="126"/>
      <c r="S1096" s="126"/>
      <c r="T1096" s="85"/>
      <c r="U1096" s="85"/>
      <c r="V1096" s="85"/>
      <c r="W1096" s="85"/>
    </row>
    <row r="1097" spans="1:23" s="33" customFormat="1" ht="13.8" x14ac:dyDescent="0.25">
      <c r="A1097" s="28" t="s">
        <v>82</v>
      </c>
      <c r="B1097" s="29" t="s">
        <v>29</v>
      </c>
      <c r="C1097" s="40"/>
      <c r="D1097" s="40"/>
      <c r="E1097" s="40"/>
      <c r="F1097" s="40"/>
      <c r="G1097" s="40"/>
      <c r="H1097" s="40"/>
      <c r="I1097" s="40"/>
      <c r="J1097" s="40"/>
      <c r="K1097" s="40"/>
      <c r="L1097" s="40"/>
      <c r="M1097" s="59"/>
      <c r="N1097" s="97"/>
      <c r="O1097" s="32"/>
      <c r="P1097" s="85"/>
      <c r="Q1097" s="126"/>
      <c r="R1097" s="126"/>
      <c r="S1097" s="126"/>
      <c r="T1097" s="85"/>
      <c r="U1097" s="85"/>
      <c r="V1097" s="85"/>
      <c r="W1097" s="85"/>
    </row>
    <row r="1098" spans="1:23" s="33" customFormat="1" ht="13.8" x14ac:dyDescent="0.25">
      <c r="A1098" s="28"/>
      <c r="B1098" s="62" t="s">
        <v>573</v>
      </c>
      <c r="C1098" s="40"/>
      <c r="D1098" s="40"/>
      <c r="E1098" s="40"/>
      <c r="F1098" s="40"/>
      <c r="G1098" s="40"/>
      <c r="H1098" s="40"/>
      <c r="I1098" s="40"/>
      <c r="J1098" s="40"/>
      <c r="K1098" s="40"/>
      <c r="L1098" s="40">
        <v>1</v>
      </c>
      <c r="M1098" s="59">
        <f>+SUM(K1099:K1101)*L1098</f>
        <v>26.4</v>
      </c>
      <c r="N1098" s="97" t="s">
        <v>6</v>
      </c>
      <c r="O1098" s="32"/>
      <c r="P1098" s="85"/>
      <c r="Q1098" s="126"/>
      <c r="R1098" s="126"/>
      <c r="S1098" s="126"/>
      <c r="T1098" s="85"/>
      <c r="U1098" s="85"/>
      <c r="V1098" s="85"/>
      <c r="W1098" s="85"/>
    </row>
    <row r="1099" spans="1:23" s="66" customFormat="1" ht="13.8" x14ac:dyDescent="0.25">
      <c r="A1099" s="34"/>
      <c r="B1099" s="39" t="s">
        <v>527</v>
      </c>
      <c r="C1099" s="40">
        <v>1</v>
      </c>
      <c r="D1099" s="40">
        <f>2.7+3.8</f>
        <v>6.5</v>
      </c>
      <c r="E1099" s="40"/>
      <c r="F1099" s="40"/>
      <c r="G1099" s="40">
        <f>+D1099</f>
        <v>6.5</v>
      </c>
      <c r="H1099" s="157"/>
      <c r="I1099" s="40"/>
      <c r="J1099" s="40"/>
      <c r="K1099" s="40">
        <f>+G1099*C1099</f>
        <v>6.5</v>
      </c>
      <c r="L1099" s="40"/>
      <c r="M1099" s="59"/>
      <c r="N1099" s="98"/>
      <c r="O1099" s="65"/>
      <c r="P1099" s="87"/>
      <c r="Q1099" s="128"/>
      <c r="R1099" s="128"/>
      <c r="S1099" s="128"/>
      <c r="T1099" s="87"/>
      <c r="U1099" s="87"/>
      <c r="V1099" s="87"/>
      <c r="W1099" s="87"/>
    </row>
    <row r="1100" spans="1:23" s="66" customFormat="1" ht="13.8" x14ac:dyDescent="0.25">
      <c r="A1100" s="34"/>
      <c r="B1100" s="39" t="s">
        <v>528</v>
      </c>
      <c r="C1100" s="40">
        <v>1</v>
      </c>
      <c r="D1100" s="40">
        <f>3.8+1.2</f>
        <v>5</v>
      </c>
      <c r="E1100" s="40"/>
      <c r="F1100" s="40"/>
      <c r="G1100" s="40">
        <f t="shared" ref="G1100:G1101" si="299">+D1100</f>
        <v>5</v>
      </c>
      <c r="H1100" s="157"/>
      <c r="I1100" s="40"/>
      <c r="J1100" s="40"/>
      <c r="K1100" s="40">
        <f t="shared" ref="K1100:K1101" si="300">+G1100*C1100</f>
        <v>5</v>
      </c>
      <c r="L1100" s="40"/>
      <c r="M1100" s="59"/>
      <c r="N1100" s="98"/>
      <c r="O1100" s="65"/>
      <c r="P1100" s="87"/>
      <c r="Q1100" s="128"/>
      <c r="R1100" s="128"/>
      <c r="S1100" s="128"/>
      <c r="T1100" s="87"/>
      <c r="U1100" s="87"/>
      <c r="V1100" s="87"/>
      <c r="W1100" s="87"/>
    </row>
    <row r="1101" spans="1:23" s="66" customFormat="1" ht="13.8" x14ac:dyDescent="0.25">
      <c r="A1101" s="34"/>
      <c r="B1101" s="39" t="s">
        <v>529</v>
      </c>
      <c r="C1101" s="40">
        <v>1</v>
      </c>
      <c r="D1101" s="40">
        <v>14.9</v>
      </c>
      <c r="E1101" s="40"/>
      <c r="F1101" s="40"/>
      <c r="G1101" s="40">
        <f t="shared" si="299"/>
        <v>14.9</v>
      </c>
      <c r="H1101" s="157"/>
      <c r="I1101" s="40"/>
      <c r="J1101" s="40"/>
      <c r="K1101" s="40">
        <f t="shared" si="300"/>
        <v>14.9</v>
      </c>
      <c r="L1101" s="40"/>
      <c r="M1101" s="59"/>
      <c r="N1101" s="98"/>
      <c r="O1101" s="65"/>
      <c r="P1101" s="87"/>
      <c r="Q1101" s="128"/>
      <c r="R1101" s="128"/>
      <c r="S1101" s="128"/>
      <c r="T1101" s="87"/>
      <c r="U1101" s="87"/>
      <c r="V1101" s="87"/>
      <c r="W1101" s="87"/>
    </row>
    <row r="1102" spans="1:23" s="33" customFormat="1" ht="13.8" x14ac:dyDescent="0.25">
      <c r="A1102" s="28"/>
      <c r="B1102" s="62"/>
      <c r="C1102" s="40"/>
      <c r="D1102" s="40"/>
      <c r="E1102" s="40"/>
      <c r="F1102" s="40"/>
      <c r="G1102" s="40"/>
      <c r="H1102" s="40"/>
      <c r="I1102" s="40"/>
      <c r="J1102" s="40"/>
      <c r="K1102" s="40"/>
      <c r="L1102" s="40"/>
      <c r="M1102" s="59"/>
      <c r="N1102" s="97"/>
      <c r="O1102" s="32"/>
      <c r="P1102" s="85"/>
      <c r="Q1102" s="126"/>
      <c r="R1102" s="126"/>
      <c r="S1102" s="126"/>
      <c r="T1102" s="85"/>
      <c r="U1102" s="85"/>
      <c r="V1102" s="85"/>
      <c r="W1102" s="85"/>
    </row>
    <row r="1103" spans="1:23" s="33" customFormat="1" ht="13.8" x14ac:dyDescent="0.25">
      <c r="A1103" s="28"/>
      <c r="B1103" s="62"/>
      <c r="C1103" s="40"/>
      <c r="D1103" s="40"/>
      <c r="E1103" s="40"/>
      <c r="F1103" s="40"/>
      <c r="G1103" s="40"/>
      <c r="H1103" s="40"/>
      <c r="I1103" s="40"/>
      <c r="J1103" s="40"/>
      <c r="K1103" s="40"/>
      <c r="L1103" s="40"/>
      <c r="M1103" s="59"/>
      <c r="N1103" s="97"/>
      <c r="O1103" s="32"/>
      <c r="P1103" s="85"/>
      <c r="Q1103" s="126"/>
      <c r="R1103" s="126"/>
      <c r="S1103" s="126"/>
      <c r="T1103" s="85"/>
      <c r="U1103" s="85"/>
      <c r="V1103" s="85"/>
      <c r="W1103" s="85"/>
    </row>
    <row r="1104" spans="1:23" s="33" customFormat="1" ht="13.8" x14ac:dyDescent="0.25">
      <c r="A1104" s="28"/>
      <c r="B1104" s="62"/>
      <c r="C1104" s="40"/>
      <c r="D1104" s="40"/>
      <c r="E1104" s="40"/>
      <c r="F1104" s="40"/>
      <c r="G1104" s="40"/>
      <c r="H1104" s="40"/>
      <c r="I1104" s="40"/>
      <c r="J1104" s="40"/>
      <c r="K1104" s="40"/>
      <c r="L1104" s="40"/>
      <c r="M1104" s="59"/>
      <c r="N1104" s="97"/>
      <c r="O1104" s="32"/>
      <c r="P1104" s="85"/>
      <c r="Q1104" s="126"/>
      <c r="R1104" s="126"/>
      <c r="S1104" s="126"/>
      <c r="T1104" s="85"/>
      <c r="U1104" s="85"/>
      <c r="V1104" s="85"/>
      <c r="W1104" s="85"/>
    </row>
    <row r="1105" spans="1:23" s="33" customFormat="1" ht="13.8" x14ac:dyDescent="0.25">
      <c r="A1105" s="28"/>
      <c r="B1105" s="62"/>
      <c r="C1105" s="40"/>
      <c r="D1105" s="40"/>
      <c r="E1105" s="40"/>
      <c r="F1105" s="40"/>
      <c r="G1105" s="40"/>
      <c r="H1105" s="40"/>
      <c r="I1105" s="40"/>
      <c r="J1105" s="40"/>
      <c r="K1105" s="40"/>
      <c r="L1105" s="40"/>
      <c r="M1105" s="59"/>
      <c r="N1105" s="97"/>
      <c r="O1105" s="32"/>
      <c r="P1105" s="85"/>
      <c r="Q1105" s="126"/>
      <c r="R1105" s="126"/>
      <c r="S1105" s="126"/>
      <c r="T1105" s="85"/>
      <c r="U1105" s="85"/>
      <c r="V1105" s="85"/>
      <c r="W1105" s="85"/>
    </row>
    <row r="1106" spans="1:23" s="33" customFormat="1" ht="13.8" x14ac:dyDescent="0.25">
      <c r="A1106" s="28"/>
      <c r="B1106" s="62"/>
      <c r="C1106" s="40"/>
      <c r="D1106" s="40"/>
      <c r="E1106" s="40"/>
      <c r="F1106" s="40"/>
      <c r="G1106" s="40"/>
      <c r="H1106" s="40"/>
      <c r="I1106" s="40"/>
      <c r="J1106" s="40"/>
      <c r="K1106" s="40"/>
      <c r="L1106" s="40"/>
      <c r="M1106" s="59"/>
      <c r="N1106" s="97"/>
      <c r="O1106" s="32"/>
      <c r="P1106" s="85"/>
      <c r="Q1106" s="126"/>
      <c r="R1106" s="126"/>
      <c r="S1106" s="126"/>
      <c r="T1106" s="85"/>
      <c r="U1106" s="85"/>
      <c r="V1106" s="85"/>
      <c r="W1106" s="85"/>
    </row>
    <row r="1107" spans="1:23" s="33" customFormat="1" ht="13.8" x14ac:dyDescent="0.25">
      <c r="A1107" s="28"/>
      <c r="B1107" s="62"/>
      <c r="C1107" s="40"/>
      <c r="D1107" s="40"/>
      <c r="E1107" s="40"/>
      <c r="F1107" s="40"/>
      <c r="G1107" s="40"/>
      <c r="H1107" s="40"/>
      <c r="I1107" s="40"/>
      <c r="J1107" s="40"/>
      <c r="K1107" s="40"/>
      <c r="L1107" s="40"/>
      <c r="M1107" s="59"/>
      <c r="N1107" s="97"/>
      <c r="O1107" s="32"/>
      <c r="P1107" s="85"/>
      <c r="Q1107" s="126"/>
      <c r="R1107" s="126"/>
      <c r="S1107" s="126"/>
      <c r="T1107" s="85"/>
      <c r="U1107" s="85"/>
      <c r="V1107" s="85"/>
      <c r="W1107" s="85"/>
    </row>
    <row r="1108" spans="1:23" s="33" customFormat="1" ht="13.8" x14ac:dyDescent="0.25">
      <c r="A1108" s="28"/>
      <c r="B1108" s="62"/>
      <c r="C1108" s="40"/>
      <c r="D1108" s="40"/>
      <c r="E1108" s="40"/>
      <c r="F1108" s="40"/>
      <c r="G1108" s="40"/>
      <c r="H1108" s="40"/>
      <c r="I1108" s="40"/>
      <c r="J1108" s="40"/>
      <c r="K1108" s="40"/>
      <c r="L1108" s="40"/>
      <c r="M1108" s="59"/>
      <c r="N1108" s="97"/>
      <c r="O1108" s="32"/>
      <c r="P1108" s="85"/>
      <c r="Q1108" s="126"/>
      <c r="R1108" s="126"/>
      <c r="S1108" s="126"/>
      <c r="T1108" s="85"/>
      <c r="U1108" s="85"/>
      <c r="V1108" s="85"/>
      <c r="W1108" s="85"/>
    </row>
    <row r="1109" spans="1:23" s="33" customFormat="1" ht="13.8" x14ac:dyDescent="0.25">
      <c r="A1109" s="28"/>
      <c r="B1109" s="62"/>
      <c r="C1109" s="40"/>
      <c r="D1109" s="40"/>
      <c r="E1109" s="40"/>
      <c r="F1109" s="40"/>
      <c r="G1109" s="40"/>
      <c r="H1109" s="40"/>
      <c r="I1109" s="40"/>
      <c r="J1109" s="40"/>
      <c r="K1109" s="40"/>
      <c r="L1109" s="40"/>
      <c r="M1109" s="59"/>
      <c r="N1109" s="97"/>
      <c r="O1109" s="32"/>
      <c r="P1109" s="85"/>
      <c r="Q1109" s="126"/>
      <c r="R1109" s="126"/>
      <c r="S1109" s="126"/>
      <c r="T1109" s="85"/>
      <c r="U1109" s="85"/>
      <c r="V1109" s="85"/>
      <c r="W1109" s="85"/>
    </row>
    <row r="1110" spans="1:23" s="33" customFormat="1" ht="13.8" x14ac:dyDescent="0.25">
      <c r="A1110" s="28"/>
      <c r="B1110" s="62"/>
      <c r="C1110" s="40"/>
      <c r="D1110" s="40"/>
      <c r="E1110" s="40"/>
      <c r="F1110" s="40"/>
      <c r="G1110" s="40"/>
      <c r="H1110" s="40"/>
      <c r="I1110" s="40"/>
      <c r="J1110" s="40"/>
      <c r="K1110" s="40"/>
      <c r="L1110" s="40"/>
      <c r="M1110" s="59"/>
      <c r="N1110" s="97"/>
      <c r="O1110" s="32"/>
      <c r="P1110" s="85"/>
      <c r="Q1110" s="126"/>
      <c r="R1110" s="126"/>
      <c r="S1110" s="126"/>
      <c r="T1110" s="85"/>
      <c r="U1110" s="85"/>
      <c r="V1110" s="85"/>
      <c r="W1110" s="85"/>
    </row>
    <row r="1111" spans="1:23" s="33" customFormat="1" ht="13.8" x14ac:dyDescent="0.25">
      <c r="A1111" s="28"/>
      <c r="B1111" s="62"/>
      <c r="C1111" s="40"/>
      <c r="D1111" s="40"/>
      <c r="E1111" s="40"/>
      <c r="F1111" s="40"/>
      <c r="G1111" s="40"/>
      <c r="H1111" s="40"/>
      <c r="I1111" s="40"/>
      <c r="J1111" s="40"/>
      <c r="K1111" s="40"/>
      <c r="L1111" s="40"/>
      <c r="M1111" s="59"/>
      <c r="N1111" s="97"/>
      <c r="O1111" s="32"/>
      <c r="P1111" s="85"/>
      <c r="Q1111" s="126"/>
      <c r="R1111" s="126"/>
      <c r="S1111" s="126"/>
      <c r="T1111" s="85"/>
      <c r="U1111" s="85"/>
      <c r="V1111" s="85"/>
      <c r="W1111" s="85"/>
    </row>
    <row r="1112" spans="1:23" s="33" customFormat="1" ht="13.8" x14ac:dyDescent="0.25">
      <c r="A1112" s="28"/>
      <c r="B1112" s="62"/>
      <c r="C1112" s="40"/>
      <c r="D1112" s="40"/>
      <c r="E1112" s="40"/>
      <c r="F1112" s="40"/>
      <c r="G1112" s="40"/>
      <c r="H1112" s="40"/>
      <c r="I1112" s="40"/>
      <c r="J1112" s="40"/>
      <c r="K1112" s="40"/>
      <c r="L1112" s="40"/>
      <c r="M1112" s="59"/>
      <c r="N1112" s="97"/>
      <c r="O1112" s="32"/>
      <c r="P1112" s="85"/>
      <c r="Q1112" s="126"/>
      <c r="R1112" s="126"/>
      <c r="S1112" s="126"/>
      <c r="T1112" s="85"/>
      <c r="U1112" s="85"/>
      <c r="V1112" s="85"/>
      <c r="W1112" s="85"/>
    </row>
    <row r="1113" spans="1:23" s="33" customFormat="1" ht="13.8" x14ac:dyDescent="0.25">
      <c r="A1113" s="28"/>
      <c r="B1113" s="62"/>
      <c r="C1113" s="40"/>
      <c r="D1113" s="40"/>
      <c r="E1113" s="40"/>
      <c r="F1113" s="40"/>
      <c r="G1113" s="40"/>
      <c r="H1113" s="40"/>
      <c r="I1113" s="40"/>
      <c r="J1113" s="40"/>
      <c r="K1113" s="40"/>
      <c r="L1113" s="40"/>
      <c r="M1113" s="59"/>
      <c r="N1113" s="97"/>
      <c r="O1113" s="32"/>
      <c r="P1113" s="85"/>
      <c r="Q1113" s="126"/>
      <c r="R1113" s="126"/>
      <c r="S1113" s="126"/>
      <c r="T1113" s="85"/>
      <c r="U1113" s="85"/>
      <c r="V1113" s="85"/>
      <c r="W1113" s="85"/>
    </row>
    <row r="1114" spans="1:23" s="33" customFormat="1" ht="13.8" x14ac:dyDescent="0.25">
      <c r="A1114" s="28"/>
      <c r="B1114" s="62"/>
      <c r="C1114" s="40"/>
      <c r="D1114" s="40"/>
      <c r="E1114" s="40"/>
      <c r="F1114" s="40"/>
      <c r="G1114" s="40"/>
      <c r="H1114" s="40"/>
      <c r="I1114" s="40"/>
      <c r="J1114" s="40"/>
      <c r="K1114" s="40"/>
      <c r="L1114" s="40"/>
      <c r="M1114" s="59"/>
      <c r="N1114" s="97"/>
      <c r="O1114" s="32"/>
      <c r="P1114" s="85"/>
      <c r="Q1114" s="126"/>
      <c r="R1114" s="126"/>
      <c r="S1114" s="126"/>
      <c r="T1114" s="85"/>
      <c r="U1114" s="85"/>
      <c r="V1114" s="85"/>
      <c r="W1114" s="85"/>
    </row>
    <row r="1115" spans="1:23" s="33" customFormat="1" ht="13.8" x14ac:dyDescent="0.25">
      <c r="A1115" s="28"/>
      <c r="B1115" s="62"/>
      <c r="C1115" s="40"/>
      <c r="D1115" s="40"/>
      <c r="E1115" s="40"/>
      <c r="F1115" s="40"/>
      <c r="G1115" s="40"/>
      <c r="H1115" s="40"/>
      <c r="I1115" s="40"/>
      <c r="J1115" s="40"/>
      <c r="K1115" s="40"/>
      <c r="L1115" s="40"/>
      <c r="M1115" s="59"/>
      <c r="N1115" s="97"/>
      <c r="O1115" s="32"/>
      <c r="P1115" s="85"/>
      <c r="Q1115" s="126"/>
      <c r="R1115" s="126"/>
      <c r="S1115" s="126"/>
      <c r="T1115" s="85"/>
      <c r="U1115" s="85"/>
      <c r="V1115" s="85"/>
      <c r="W1115" s="85"/>
    </row>
    <row r="1116" spans="1:23" s="33" customFormat="1" ht="13.8" x14ac:dyDescent="0.25">
      <c r="A1116" s="28"/>
      <c r="B1116" s="62"/>
      <c r="C1116" s="40"/>
      <c r="D1116" s="40"/>
      <c r="E1116" s="40"/>
      <c r="F1116" s="40"/>
      <c r="G1116" s="40"/>
      <c r="H1116" s="40"/>
      <c r="I1116" s="40"/>
      <c r="J1116" s="40"/>
      <c r="K1116" s="40"/>
      <c r="L1116" s="40"/>
      <c r="M1116" s="59"/>
      <c r="N1116" s="97"/>
      <c r="O1116" s="32"/>
      <c r="P1116" s="85"/>
      <c r="Q1116" s="126"/>
      <c r="R1116" s="126"/>
      <c r="S1116" s="126"/>
      <c r="T1116" s="85"/>
      <c r="U1116" s="85"/>
      <c r="V1116" s="85"/>
      <c r="W1116" s="85"/>
    </row>
    <row r="1117" spans="1:23" s="33" customFormat="1" ht="13.8" x14ac:dyDescent="0.25">
      <c r="A1117" s="28"/>
      <c r="B1117" s="62"/>
      <c r="C1117" s="40"/>
      <c r="D1117" s="40"/>
      <c r="E1117" s="40"/>
      <c r="F1117" s="40"/>
      <c r="G1117" s="40"/>
      <c r="H1117" s="40"/>
      <c r="I1117" s="40"/>
      <c r="J1117" s="40"/>
      <c r="K1117" s="40"/>
      <c r="L1117" s="40"/>
      <c r="M1117" s="59"/>
      <c r="N1117" s="97"/>
      <c r="O1117" s="32"/>
      <c r="P1117" s="85"/>
      <c r="Q1117" s="126"/>
      <c r="R1117" s="126"/>
      <c r="S1117" s="126"/>
      <c r="T1117" s="85"/>
      <c r="U1117" s="85"/>
      <c r="V1117" s="85"/>
      <c r="W1117" s="85"/>
    </row>
    <row r="1118" spans="1:23" s="33" customFormat="1" ht="13.8" x14ac:dyDescent="0.25">
      <c r="A1118" s="28"/>
      <c r="B1118" s="62"/>
      <c r="C1118" s="40"/>
      <c r="D1118" s="40"/>
      <c r="E1118" s="40"/>
      <c r="F1118" s="40"/>
      <c r="G1118" s="40"/>
      <c r="H1118" s="40"/>
      <c r="I1118" s="40"/>
      <c r="J1118" s="40"/>
      <c r="K1118" s="40"/>
      <c r="L1118" s="40"/>
      <c r="M1118" s="59"/>
      <c r="N1118" s="97"/>
      <c r="O1118" s="32"/>
      <c r="P1118" s="85"/>
      <c r="Q1118" s="126"/>
      <c r="R1118" s="126"/>
      <c r="S1118" s="126"/>
      <c r="T1118" s="85"/>
      <c r="U1118" s="85"/>
      <c r="V1118" s="85"/>
      <c r="W1118" s="85"/>
    </row>
    <row r="1119" spans="1:23" s="33" customFormat="1" ht="13.8" x14ac:dyDescent="0.25">
      <c r="A1119" s="28"/>
      <c r="B1119" s="62"/>
      <c r="C1119" s="40"/>
      <c r="D1119" s="40"/>
      <c r="E1119" s="40"/>
      <c r="F1119" s="40"/>
      <c r="G1119" s="40"/>
      <c r="H1119" s="40"/>
      <c r="I1119" s="40"/>
      <c r="J1119" s="40"/>
      <c r="K1119" s="40"/>
      <c r="L1119" s="40"/>
      <c r="M1119" s="59"/>
      <c r="N1119" s="97"/>
      <c r="O1119" s="32"/>
      <c r="P1119" s="85"/>
      <c r="Q1119" s="126"/>
      <c r="R1119" s="126"/>
      <c r="S1119" s="126"/>
      <c r="T1119" s="85"/>
      <c r="U1119" s="85"/>
      <c r="V1119" s="85"/>
      <c r="W1119" s="85"/>
    </row>
    <row r="1120" spans="1:23" s="33" customFormat="1" ht="13.8" x14ac:dyDescent="0.25">
      <c r="A1120" s="28"/>
      <c r="B1120" s="62"/>
      <c r="C1120" s="40"/>
      <c r="D1120" s="40"/>
      <c r="E1120" s="40"/>
      <c r="F1120" s="40"/>
      <c r="G1120" s="40"/>
      <c r="H1120" s="40"/>
      <c r="I1120" s="40"/>
      <c r="J1120" s="40"/>
      <c r="K1120" s="40"/>
      <c r="L1120" s="40"/>
      <c r="M1120" s="59"/>
      <c r="N1120" s="97"/>
      <c r="O1120" s="32"/>
      <c r="P1120" s="85"/>
      <c r="Q1120" s="126"/>
      <c r="R1120" s="126"/>
      <c r="S1120" s="126"/>
      <c r="T1120" s="85"/>
      <c r="U1120" s="85"/>
      <c r="V1120" s="85"/>
      <c r="W1120" s="85"/>
    </row>
    <row r="1121" spans="1:23" s="33" customFormat="1" ht="13.8" x14ac:dyDescent="0.25">
      <c r="A1121" s="28"/>
      <c r="B1121" s="62" t="s">
        <v>139</v>
      </c>
      <c r="C1121" s="40"/>
      <c r="D1121" s="40"/>
      <c r="E1121" s="40"/>
      <c r="F1121" s="40"/>
      <c r="G1121" s="40"/>
      <c r="H1121" s="40"/>
      <c r="I1121" s="40"/>
      <c r="J1121" s="40"/>
      <c r="K1121" s="40"/>
      <c r="L1121" s="40"/>
      <c r="M1121" s="59">
        <f>+K1121</f>
        <v>0</v>
      </c>
      <c r="N1121" s="97" t="s">
        <v>11</v>
      </c>
      <c r="O1121" s="32"/>
      <c r="P1121" s="85"/>
      <c r="Q1121" s="126"/>
      <c r="R1121" s="126"/>
      <c r="S1121" s="126"/>
      <c r="T1121" s="85"/>
      <c r="U1121" s="85"/>
      <c r="V1121" s="85"/>
      <c r="W1121" s="85"/>
    </row>
    <row r="1122" spans="1:23" s="45" customFormat="1" ht="14.4" x14ac:dyDescent="0.3">
      <c r="A1122" s="46"/>
      <c r="B1122" s="62" t="s">
        <v>140</v>
      </c>
      <c r="C1122" s="40"/>
      <c r="D1122" s="40"/>
      <c r="E1122" s="40"/>
      <c r="F1122" s="40"/>
      <c r="G1122" s="40"/>
      <c r="H1122" s="40"/>
      <c r="I1122" s="40"/>
      <c r="J1122" s="40"/>
      <c r="K1122" s="40"/>
      <c r="L1122" s="40"/>
      <c r="M1122" s="59">
        <f>+K1122</f>
        <v>0</v>
      </c>
      <c r="N1122" s="97" t="s">
        <v>7</v>
      </c>
      <c r="O1122" s="32"/>
      <c r="P1122" s="86"/>
      <c r="Q1122" s="127"/>
      <c r="R1122" s="127"/>
      <c r="S1122" s="127"/>
      <c r="T1122" s="86"/>
      <c r="U1122" s="86"/>
      <c r="V1122" s="86"/>
      <c r="W1122" s="86"/>
    </row>
    <row r="1123" spans="1:23" s="45" customFormat="1" ht="14.4" thickBot="1" x14ac:dyDescent="0.3">
      <c r="A1123" s="47"/>
      <c r="B1123" s="48"/>
      <c r="C1123" s="119"/>
      <c r="D1123" s="119"/>
      <c r="E1123" s="135"/>
      <c r="F1123" s="109"/>
      <c r="G1123" s="109"/>
      <c r="H1123" s="109"/>
      <c r="I1123" s="109"/>
      <c r="J1123" s="110"/>
      <c r="K1123" s="111"/>
      <c r="L1123" s="111"/>
      <c r="M1123" s="92"/>
      <c r="N1123" s="142"/>
      <c r="O1123" s="49"/>
      <c r="P1123" s="86"/>
      <c r="Q1123" s="127"/>
      <c r="R1123" s="127"/>
      <c r="S1123" s="127"/>
      <c r="T1123" s="86"/>
      <c r="U1123" s="86"/>
      <c r="V1123" s="86"/>
      <c r="W1123" s="86"/>
    </row>
    <row r="1124" spans="1:23" s="45" customFormat="1" ht="15" thickTop="1" x14ac:dyDescent="0.3">
      <c r="A1124" s="50"/>
      <c r="B1124" s="51"/>
      <c r="C1124" s="52"/>
      <c r="D1124" s="199"/>
      <c r="E1124" s="136"/>
      <c r="F1124" s="200"/>
      <c r="G1124" s="53"/>
      <c r="H1124" s="53"/>
      <c r="I1124" s="53"/>
      <c r="J1124" s="54"/>
      <c r="K1124" s="113"/>
      <c r="L1124" s="113"/>
      <c r="M1124" s="93"/>
      <c r="N1124" s="100"/>
      <c r="O1124" s="55"/>
      <c r="P1124" s="86"/>
      <c r="Q1124" s="127"/>
      <c r="R1124" s="127"/>
      <c r="S1124" s="127"/>
      <c r="T1124" s="86"/>
      <c r="U1124" s="86"/>
      <c r="V1124" s="86"/>
      <c r="W1124" s="86"/>
    </row>
    <row r="1125" spans="1:23" s="33" customFormat="1" ht="13.8" x14ac:dyDescent="0.25">
      <c r="C1125" s="113"/>
      <c r="D1125" s="114"/>
      <c r="E1125" s="136"/>
      <c r="F1125" s="112"/>
      <c r="G1125" s="112"/>
      <c r="H1125" s="112"/>
      <c r="I1125" s="112"/>
      <c r="J1125" s="113"/>
      <c r="K1125" s="113"/>
      <c r="L1125" s="113"/>
      <c r="M1125" s="93"/>
      <c r="N1125" s="100"/>
      <c r="O1125" s="55"/>
      <c r="P1125" s="85"/>
      <c r="Q1125" s="126"/>
      <c r="R1125" s="126"/>
      <c r="S1125" s="126"/>
      <c r="T1125" s="85"/>
      <c r="U1125" s="85"/>
      <c r="V1125" s="85"/>
      <c r="W1125" s="85"/>
    </row>
    <row r="1126" spans="1:23" s="33" customFormat="1" ht="13.8" x14ac:dyDescent="0.25">
      <c r="C1126" s="113"/>
      <c r="D1126" s="114"/>
      <c r="E1126" s="136"/>
      <c r="F1126" s="112"/>
      <c r="G1126" s="112"/>
      <c r="H1126" s="112"/>
      <c r="I1126" s="112"/>
      <c r="J1126" s="113"/>
      <c r="K1126" s="113"/>
      <c r="L1126" s="113"/>
      <c r="M1126" s="93"/>
      <c r="N1126" s="100"/>
      <c r="O1126" s="55"/>
      <c r="P1126" s="85"/>
      <c r="Q1126" s="126"/>
      <c r="R1126" s="126"/>
      <c r="S1126" s="126"/>
      <c r="T1126" s="85"/>
      <c r="U1126" s="85"/>
      <c r="V1126" s="85"/>
      <c r="W1126" s="85"/>
    </row>
    <row r="1127" spans="1:23" s="33" customFormat="1" ht="13.8" x14ac:dyDescent="0.25">
      <c r="C1127" s="113"/>
      <c r="D1127" s="114"/>
      <c r="E1127" s="136"/>
      <c r="F1127" s="112"/>
      <c r="G1127" s="112"/>
      <c r="H1127" s="112"/>
      <c r="I1127" s="112"/>
      <c r="J1127" s="113"/>
      <c r="K1127" s="113"/>
      <c r="L1127" s="113"/>
      <c r="M1127" s="93"/>
      <c r="N1127" s="100"/>
      <c r="O1127" s="55"/>
      <c r="P1127" s="85"/>
      <c r="Q1127" s="126"/>
      <c r="R1127" s="126"/>
      <c r="S1127" s="126"/>
      <c r="T1127" s="85"/>
      <c r="U1127" s="85"/>
      <c r="V1127" s="85"/>
      <c r="W1127" s="85"/>
    </row>
    <row r="1128" spans="1:23" s="33" customFormat="1" ht="13.8" x14ac:dyDescent="0.25">
      <c r="C1128" s="113"/>
      <c r="D1128" s="114"/>
      <c r="E1128" s="136"/>
      <c r="F1128" s="112"/>
      <c r="G1128" s="112"/>
      <c r="H1128" s="112"/>
      <c r="I1128" s="112"/>
      <c r="J1128" s="113"/>
      <c r="K1128" s="113"/>
      <c r="L1128" s="113"/>
      <c r="M1128" s="93"/>
      <c r="N1128" s="100"/>
      <c r="O1128" s="55"/>
      <c r="P1128" s="85"/>
      <c r="Q1128" s="126"/>
      <c r="R1128" s="126"/>
      <c r="S1128" s="126"/>
      <c r="T1128" s="85"/>
      <c r="U1128" s="85"/>
      <c r="V1128" s="85"/>
      <c r="W1128" s="85"/>
    </row>
    <row r="1129" spans="1:23" s="33" customFormat="1" ht="13.8" x14ac:dyDescent="0.25">
      <c r="C1129" s="113"/>
      <c r="D1129" s="114"/>
      <c r="E1129" s="136"/>
      <c r="F1129" s="112"/>
      <c r="G1129" s="112"/>
      <c r="H1129" s="112"/>
      <c r="I1129" s="112"/>
      <c r="J1129" s="113"/>
      <c r="K1129" s="113"/>
      <c r="L1129" s="113"/>
      <c r="M1129" s="93"/>
      <c r="N1129" s="100"/>
      <c r="O1129" s="55"/>
      <c r="P1129" s="85"/>
      <c r="Q1129" s="126"/>
      <c r="R1129" s="126"/>
      <c r="S1129" s="126"/>
      <c r="T1129" s="85"/>
      <c r="U1129" s="85"/>
      <c r="V1129" s="85"/>
      <c r="W1129" s="85"/>
    </row>
    <row r="1130" spans="1:23" s="33" customFormat="1" ht="13.8" x14ac:dyDescent="0.25">
      <c r="C1130" s="113"/>
      <c r="D1130" s="114"/>
      <c r="E1130" s="136"/>
      <c r="F1130" s="112"/>
      <c r="G1130" s="112"/>
      <c r="H1130" s="112"/>
      <c r="I1130" s="112"/>
      <c r="J1130" s="113"/>
      <c r="K1130" s="113"/>
      <c r="L1130" s="113"/>
      <c r="M1130" s="93"/>
      <c r="N1130" s="100"/>
      <c r="O1130" s="55"/>
      <c r="P1130" s="85"/>
      <c r="Q1130" s="126"/>
      <c r="R1130" s="126"/>
      <c r="S1130" s="126"/>
      <c r="T1130" s="85"/>
      <c r="U1130" s="85"/>
      <c r="V1130" s="85"/>
      <c r="W1130" s="85"/>
    </row>
    <row r="1131" spans="1:23" s="33" customFormat="1" ht="13.8" x14ac:dyDescent="0.25">
      <c r="C1131" s="113"/>
      <c r="D1131" s="114"/>
      <c r="E1131" s="136"/>
      <c r="F1131" s="112"/>
      <c r="G1131" s="112"/>
      <c r="H1131" s="112"/>
      <c r="I1131" s="112"/>
      <c r="J1131" s="113"/>
      <c r="K1131" s="113"/>
      <c r="L1131" s="113"/>
      <c r="M1131" s="93"/>
      <c r="N1131" s="100"/>
      <c r="O1131" s="55"/>
      <c r="P1131" s="85"/>
      <c r="Q1131" s="126"/>
      <c r="R1131" s="126"/>
      <c r="S1131" s="126"/>
      <c r="T1131" s="85"/>
      <c r="U1131" s="85"/>
      <c r="V1131" s="85"/>
      <c r="W1131" s="85"/>
    </row>
    <row r="1132" spans="1:23" x14ac:dyDescent="0.25">
      <c r="C1132" s="120"/>
      <c r="E1132" s="137"/>
      <c r="F1132" s="107"/>
      <c r="G1132" s="107"/>
      <c r="H1132" s="107"/>
      <c r="I1132" s="107"/>
      <c r="J1132" s="115"/>
    </row>
    <row r="1133" spans="1:23" x14ac:dyDescent="0.25">
      <c r="C1133" s="120"/>
      <c r="E1133" s="137"/>
      <c r="F1133" s="107"/>
      <c r="G1133" s="107"/>
      <c r="H1133" s="107"/>
      <c r="I1133" s="107"/>
      <c r="J1133" s="115"/>
    </row>
    <row r="1134" spans="1:23" x14ac:dyDescent="0.25">
      <c r="C1134" s="120"/>
      <c r="E1134" s="137"/>
      <c r="F1134" s="107"/>
      <c r="G1134" s="107"/>
      <c r="H1134" s="107"/>
      <c r="I1134" s="107"/>
      <c r="J1134" s="115"/>
    </row>
    <row r="1135" spans="1:23" x14ac:dyDescent="0.25">
      <c r="C1135" s="121"/>
      <c r="D1135" s="116"/>
      <c r="E1135" s="137"/>
      <c r="F1135" s="116"/>
      <c r="G1135" s="116"/>
      <c r="H1135" s="116"/>
      <c r="I1135" s="116"/>
      <c r="J1135" s="117"/>
    </row>
    <row r="1136" spans="1:23" x14ac:dyDescent="0.25">
      <c r="C1136" s="121"/>
      <c r="D1136" s="116"/>
      <c r="E1136" s="137"/>
      <c r="F1136" s="116"/>
      <c r="G1136" s="116"/>
      <c r="H1136" s="116"/>
      <c r="I1136" s="116"/>
      <c r="J1136" s="117"/>
    </row>
    <row r="1137" spans="3:15" x14ac:dyDescent="0.25">
      <c r="C1137" s="121"/>
      <c r="D1137" s="116"/>
      <c r="E1137" s="137"/>
      <c r="F1137" s="116"/>
      <c r="G1137" s="116"/>
      <c r="H1137" s="116"/>
      <c r="I1137" s="116"/>
      <c r="J1137" s="117"/>
    </row>
    <row r="1138" spans="3:15" x14ac:dyDescent="0.25">
      <c r="C1138" s="121"/>
      <c r="D1138" s="116"/>
      <c r="E1138" s="137"/>
      <c r="F1138" s="116"/>
      <c r="G1138" s="116"/>
      <c r="H1138" s="116"/>
      <c r="I1138" s="116"/>
      <c r="J1138" s="117"/>
    </row>
    <row r="1139" spans="3:15" x14ac:dyDescent="0.25">
      <c r="C1139" s="121"/>
      <c r="J1139" s="117"/>
    </row>
    <row r="1140" spans="3:15" x14ac:dyDescent="0.25">
      <c r="C1140" s="121"/>
      <c r="J1140" s="117"/>
    </row>
    <row r="1141" spans="3:15" x14ac:dyDescent="0.25">
      <c r="C1141" s="121"/>
      <c r="J1141" s="117"/>
    </row>
    <row r="1142" spans="3:15" x14ac:dyDescent="0.25">
      <c r="C1142" s="121"/>
      <c r="J1142" s="117"/>
    </row>
    <row r="1143" spans="3:15" x14ac:dyDescent="0.25">
      <c r="C1143" s="121"/>
      <c r="J1143" s="117"/>
    </row>
    <row r="1144" spans="3:15" x14ac:dyDescent="0.25">
      <c r="C1144" s="121"/>
      <c r="D1144" s="108"/>
      <c r="J1144" s="117"/>
    </row>
    <row r="1145" spans="3:15" x14ac:dyDescent="0.25">
      <c r="C1145" s="121"/>
      <c r="D1145" s="108"/>
      <c r="J1145" s="117"/>
    </row>
    <row r="1146" spans="3:15" x14ac:dyDescent="0.25">
      <c r="C1146" s="121"/>
      <c r="J1146" s="117"/>
    </row>
    <row r="1147" spans="3:15" x14ac:dyDescent="0.25">
      <c r="C1147" s="121"/>
      <c r="J1147" s="117"/>
      <c r="O1147" s="24"/>
    </row>
    <row r="1148" spans="3:15" x14ac:dyDescent="0.25">
      <c r="C1148" s="121"/>
      <c r="J1148" s="117"/>
    </row>
    <row r="1149" spans="3:15" x14ac:dyDescent="0.25">
      <c r="C1149" s="121"/>
      <c r="J1149" s="117"/>
    </row>
    <row r="1150" spans="3:15" x14ac:dyDescent="0.25">
      <c r="C1150" s="122"/>
      <c r="J1150" s="118"/>
    </row>
    <row r="1151" spans="3:15" x14ac:dyDescent="0.25">
      <c r="N1151" s="101"/>
    </row>
    <row r="1152" spans="3:15" x14ac:dyDescent="0.25">
      <c r="J1152" s="116"/>
      <c r="K1152" s="116"/>
      <c r="L1152" s="116"/>
      <c r="M1152" s="94"/>
      <c r="N1152" s="102"/>
    </row>
    <row r="1153" spans="10:14" x14ac:dyDescent="0.25">
      <c r="J1153" s="116"/>
      <c r="K1153" s="116"/>
      <c r="L1153" s="116"/>
      <c r="M1153" s="94"/>
      <c r="N1153" s="102"/>
    </row>
    <row r="1154" spans="10:14" x14ac:dyDescent="0.25">
      <c r="J1154" s="116"/>
      <c r="K1154" s="116"/>
      <c r="L1154" s="116"/>
      <c r="M1154" s="94"/>
      <c r="N1154" s="102"/>
    </row>
    <row r="1155" spans="10:14" x14ac:dyDescent="0.25">
      <c r="J1155" s="116"/>
      <c r="K1155" s="116"/>
      <c r="L1155" s="116"/>
      <c r="M1155" s="94"/>
      <c r="N1155" s="102"/>
    </row>
    <row r="1156" spans="10:14" x14ac:dyDescent="0.25">
      <c r="J1156" s="116"/>
      <c r="K1156" s="116"/>
      <c r="L1156" s="116"/>
      <c r="M1156" s="94"/>
      <c r="N1156" s="102"/>
    </row>
    <row r="1157" spans="10:14" x14ac:dyDescent="0.25">
      <c r="J1157" s="116"/>
      <c r="K1157" s="116"/>
      <c r="L1157" s="116"/>
      <c r="M1157" s="94"/>
      <c r="N1157" s="102"/>
    </row>
    <row r="1158" spans="10:14" x14ac:dyDescent="0.25">
      <c r="J1158" s="116"/>
      <c r="K1158" s="116"/>
      <c r="L1158" s="116"/>
      <c r="M1158" s="94"/>
      <c r="N1158" s="102"/>
    </row>
    <row r="1159" spans="10:14" x14ac:dyDescent="0.25">
      <c r="J1159" s="116"/>
      <c r="K1159" s="116"/>
      <c r="L1159" s="116"/>
      <c r="M1159" s="94"/>
      <c r="N1159" s="102"/>
    </row>
    <row r="1160" spans="10:14" x14ac:dyDescent="0.25">
      <c r="J1160" s="116"/>
      <c r="K1160" s="116"/>
      <c r="L1160" s="116"/>
      <c r="M1160" s="94"/>
      <c r="N1160" s="102"/>
    </row>
    <row r="1161" spans="10:14" x14ac:dyDescent="0.25">
      <c r="J1161" s="116"/>
      <c r="K1161" s="116"/>
      <c r="L1161" s="116"/>
      <c r="M1161" s="94"/>
      <c r="N1161" s="102"/>
    </row>
    <row r="1162" spans="10:14" x14ac:dyDescent="0.25">
      <c r="J1162" s="116"/>
      <c r="K1162" s="116"/>
      <c r="L1162" s="116"/>
      <c r="M1162" s="94"/>
      <c r="N1162" s="102"/>
    </row>
    <row r="1163" spans="10:14" x14ac:dyDescent="0.25">
      <c r="J1163" s="116"/>
      <c r="K1163" s="116">
        <f>+J1163*F1163</f>
        <v>0</v>
      </c>
      <c r="L1163" s="116"/>
      <c r="M1163" s="94">
        <f>+K1163*4</f>
        <v>0</v>
      </c>
      <c r="N1163" s="102"/>
    </row>
    <row r="1164" spans="10:14" x14ac:dyDescent="0.25">
      <c r="J1164" s="116"/>
      <c r="K1164" s="116"/>
      <c r="L1164" s="116"/>
      <c r="M1164" s="94"/>
      <c r="N1164" s="102"/>
    </row>
    <row r="1165" spans="10:14" x14ac:dyDescent="0.25">
      <c r="J1165" s="116"/>
      <c r="K1165" s="116"/>
      <c r="L1165" s="116"/>
      <c r="M1165" s="94"/>
      <c r="N1165" s="102"/>
    </row>
    <row r="1166" spans="10:14" x14ac:dyDescent="0.25">
      <c r="J1166" s="116"/>
      <c r="K1166" s="116"/>
      <c r="L1166" s="116"/>
      <c r="M1166" s="94"/>
      <c r="N1166" s="102"/>
    </row>
    <row r="1167" spans="10:14" x14ac:dyDescent="0.25">
      <c r="J1167" s="116"/>
      <c r="K1167" s="116"/>
      <c r="L1167" s="116"/>
      <c r="M1167" s="94"/>
      <c r="N1167" s="102"/>
    </row>
  </sheetData>
  <mergeCells count="8">
    <mergeCell ref="J10:M10"/>
    <mergeCell ref="N10:N11"/>
    <mergeCell ref="O10:O11"/>
    <mergeCell ref="A7:F7"/>
    <mergeCell ref="A10:A11"/>
    <mergeCell ref="B10:B11"/>
    <mergeCell ref="C10:C11"/>
    <mergeCell ref="D10:I10"/>
  </mergeCells>
  <phoneticPr fontId="48" type="noConversion"/>
  <printOptions horizontalCentered="1"/>
  <pageMargins left="0.39370078740157483" right="0.39370078740157483" top="0.35433070866141736" bottom="0.35433070866141736" header="0.11811023622047245" footer="0.11811023622047245"/>
  <pageSetup paperSize="9" scale="80" orientation="portrait" useFirstPageNumber="1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7:V287"/>
  <sheetViews>
    <sheetView showZeros="0" topLeftCell="A256" zoomScale="94" zoomScaleNormal="100" zoomScaleSheetLayoutView="100" zoomScalePageLayoutView="80" workbookViewId="0">
      <selection activeCell="F258" sqref="F258"/>
    </sheetView>
  </sheetViews>
  <sheetFormatPr defaultColWidth="51.44140625" defaultRowHeight="12" x14ac:dyDescent="0.25"/>
  <cols>
    <col min="1" max="1" width="11.33203125" style="4" bestFit="1" customWidth="1"/>
    <col min="2" max="2" width="53.5546875" style="4" customWidth="1"/>
    <col min="3" max="3" width="23.6640625" style="79" customWidth="1"/>
    <col min="4" max="4" width="9.33203125" style="5" customWidth="1"/>
    <col min="5" max="5" width="15" style="151" bestFit="1" customWidth="1"/>
    <col min="6" max="6" width="16" style="21" customWidth="1"/>
    <col min="7" max="7" width="17.5546875" style="229" bestFit="1" customWidth="1"/>
    <col min="8" max="8" width="16.5546875" style="1" bestFit="1" customWidth="1"/>
    <col min="9" max="9" width="13.109375" style="125" hidden="1" customWidth="1"/>
    <col min="10" max="10" width="12.44140625" style="125" hidden="1" customWidth="1"/>
    <col min="11" max="11" width="15.44140625" style="125" hidden="1" customWidth="1"/>
    <col min="12" max="12" width="11.44140625" style="125" hidden="1" customWidth="1"/>
    <col min="13" max="13" width="15.6640625" style="125" customWidth="1"/>
    <col min="14" max="14" width="14.44140625" style="125" customWidth="1"/>
    <col min="15" max="15" width="12" style="125" bestFit="1" customWidth="1"/>
    <col min="16" max="16" width="11.44140625" style="1" customWidth="1"/>
    <col min="17" max="17" width="12" style="269" bestFit="1" customWidth="1"/>
    <col min="18" max="22" width="11.44140625" style="269" customWidth="1"/>
    <col min="23" max="91" width="11.44140625" style="1" customWidth="1"/>
    <col min="92" max="92" width="9.44140625" style="1" customWidth="1"/>
    <col min="93" max="93" width="51.44140625" style="1"/>
    <col min="94" max="94" width="8.6640625" style="1" customWidth="1"/>
    <col min="95" max="95" width="50.6640625" style="1" customWidth="1"/>
    <col min="96" max="96" width="22.6640625" style="1" customWidth="1"/>
    <col min="97" max="97" width="7.6640625" style="1" customWidth="1"/>
    <col min="98" max="98" width="10.6640625" style="1" customWidth="1"/>
    <col min="99" max="99" width="16.44140625" style="1" customWidth="1"/>
    <col min="100" max="100" width="18.6640625" style="1" customWidth="1"/>
    <col min="101" max="101" width="11.44140625" style="1" bestFit="1" customWidth="1"/>
    <col min="102" max="102" width="14.109375" style="1" bestFit="1" customWidth="1"/>
    <col min="103" max="103" width="11.44140625" style="1" bestFit="1" customWidth="1"/>
    <col min="104" max="347" width="11.44140625" style="1" customWidth="1"/>
    <col min="348" max="348" width="9.44140625" style="1" customWidth="1"/>
    <col min="349" max="349" width="51.44140625" style="1"/>
    <col min="350" max="350" width="8.6640625" style="1" customWidth="1"/>
    <col min="351" max="351" width="50.6640625" style="1" customWidth="1"/>
    <col min="352" max="352" width="22.6640625" style="1" customWidth="1"/>
    <col min="353" max="353" width="7.6640625" style="1" customWidth="1"/>
    <col min="354" max="354" width="10.6640625" style="1" customWidth="1"/>
    <col min="355" max="355" width="16.44140625" style="1" customWidth="1"/>
    <col min="356" max="356" width="18.6640625" style="1" customWidth="1"/>
    <col min="357" max="357" width="11.44140625" style="1" bestFit="1" customWidth="1"/>
    <col min="358" max="358" width="14.109375" style="1" bestFit="1" customWidth="1"/>
    <col min="359" max="359" width="11.44140625" style="1" bestFit="1" customWidth="1"/>
    <col min="360" max="603" width="11.44140625" style="1" customWidth="1"/>
    <col min="604" max="604" width="9.44140625" style="1" customWidth="1"/>
    <col min="605" max="605" width="51.44140625" style="1"/>
    <col min="606" max="606" width="8.6640625" style="1" customWidth="1"/>
    <col min="607" max="607" width="50.6640625" style="1" customWidth="1"/>
    <col min="608" max="608" width="22.6640625" style="1" customWidth="1"/>
    <col min="609" max="609" width="7.6640625" style="1" customWidth="1"/>
    <col min="610" max="610" width="10.6640625" style="1" customWidth="1"/>
    <col min="611" max="611" width="16.44140625" style="1" customWidth="1"/>
    <col min="612" max="612" width="18.6640625" style="1" customWidth="1"/>
    <col min="613" max="613" width="11.44140625" style="1" bestFit="1" customWidth="1"/>
    <col min="614" max="614" width="14.109375" style="1" bestFit="1" customWidth="1"/>
    <col min="615" max="615" width="11.44140625" style="1" bestFit="1" customWidth="1"/>
    <col min="616" max="859" width="11.44140625" style="1" customWidth="1"/>
    <col min="860" max="860" width="9.44140625" style="1" customWidth="1"/>
    <col min="861" max="861" width="51.44140625" style="1"/>
    <col min="862" max="862" width="8.6640625" style="1" customWidth="1"/>
    <col min="863" max="863" width="50.6640625" style="1" customWidth="1"/>
    <col min="864" max="864" width="22.6640625" style="1" customWidth="1"/>
    <col min="865" max="865" width="7.6640625" style="1" customWidth="1"/>
    <col min="866" max="866" width="10.6640625" style="1" customWidth="1"/>
    <col min="867" max="867" width="16.44140625" style="1" customWidth="1"/>
    <col min="868" max="868" width="18.6640625" style="1" customWidth="1"/>
    <col min="869" max="869" width="11.44140625" style="1" bestFit="1" customWidth="1"/>
    <col min="870" max="870" width="14.109375" style="1" bestFit="1" customWidth="1"/>
    <col min="871" max="871" width="11.44140625" style="1" bestFit="1" customWidth="1"/>
    <col min="872" max="1115" width="11.44140625" style="1" customWidth="1"/>
    <col min="1116" max="1116" width="9.44140625" style="1" customWidth="1"/>
    <col min="1117" max="1117" width="51.44140625" style="1"/>
    <col min="1118" max="1118" width="8.6640625" style="1" customWidth="1"/>
    <col min="1119" max="1119" width="50.6640625" style="1" customWidth="1"/>
    <col min="1120" max="1120" width="22.6640625" style="1" customWidth="1"/>
    <col min="1121" max="1121" width="7.6640625" style="1" customWidth="1"/>
    <col min="1122" max="1122" width="10.6640625" style="1" customWidth="1"/>
    <col min="1123" max="1123" width="16.44140625" style="1" customWidth="1"/>
    <col min="1124" max="1124" width="18.6640625" style="1" customWidth="1"/>
    <col min="1125" max="1125" width="11.44140625" style="1" bestFit="1" customWidth="1"/>
    <col min="1126" max="1126" width="14.109375" style="1" bestFit="1" customWidth="1"/>
    <col min="1127" max="1127" width="11.44140625" style="1" bestFit="1" customWidth="1"/>
    <col min="1128" max="1371" width="11.44140625" style="1" customWidth="1"/>
    <col min="1372" max="1372" width="9.44140625" style="1" customWidth="1"/>
    <col min="1373" max="1373" width="51.44140625" style="1"/>
    <col min="1374" max="1374" width="8.6640625" style="1" customWidth="1"/>
    <col min="1375" max="1375" width="50.6640625" style="1" customWidth="1"/>
    <col min="1376" max="1376" width="22.6640625" style="1" customWidth="1"/>
    <col min="1377" max="1377" width="7.6640625" style="1" customWidth="1"/>
    <col min="1378" max="1378" width="10.6640625" style="1" customWidth="1"/>
    <col min="1379" max="1379" width="16.44140625" style="1" customWidth="1"/>
    <col min="1380" max="1380" width="18.6640625" style="1" customWidth="1"/>
    <col min="1381" max="1381" width="11.44140625" style="1" bestFit="1" customWidth="1"/>
    <col min="1382" max="1382" width="14.109375" style="1" bestFit="1" customWidth="1"/>
    <col min="1383" max="1383" width="11.44140625" style="1" bestFit="1" customWidth="1"/>
    <col min="1384" max="1627" width="11.44140625" style="1" customWidth="1"/>
    <col min="1628" max="1628" width="9.44140625" style="1" customWidth="1"/>
    <col min="1629" max="1629" width="51.44140625" style="1"/>
    <col min="1630" max="1630" width="8.6640625" style="1" customWidth="1"/>
    <col min="1631" max="1631" width="50.6640625" style="1" customWidth="1"/>
    <col min="1632" max="1632" width="22.6640625" style="1" customWidth="1"/>
    <col min="1633" max="1633" width="7.6640625" style="1" customWidth="1"/>
    <col min="1634" max="1634" width="10.6640625" style="1" customWidth="1"/>
    <col min="1635" max="1635" width="16.44140625" style="1" customWidth="1"/>
    <col min="1636" max="1636" width="18.6640625" style="1" customWidth="1"/>
    <col min="1637" max="1637" width="11.44140625" style="1" bestFit="1" customWidth="1"/>
    <col min="1638" max="1638" width="14.109375" style="1" bestFit="1" customWidth="1"/>
    <col min="1639" max="1639" width="11.44140625" style="1" bestFit="1" customWidth="1"/>
    <col min="1640" max="1883" width="11.44140625" style="1" customWidth="1"/>
    <col min="1884" max="1884" width="9.44140625" style="1" customWidth="1"/>
    <col min="1885" max="1885" width="51.44140625" style="1"/>
    <col min="1886" max="1886" width="8.6640625" style="1" customWidth="1"/>
    <col min="1887" max="1887" width="50.6640625" style="1" customWidth="1"/>
    <col min="1888" max="1888" width="22.6640625" style="1" customWidth="1"/>
    <col min="1889" max="1889" width="7.6640625" style="1" customWidth="1"/>
    <col min="1890" max="1890" width="10.6640625" style="1" customWidth="1"/>
    <col min="1891" max="1891" width="16.44140625" style="1" customWidth="1"/>
    <col min="1892" max="1892" width="18.6640625" style="1" customWidth="1"/>
    <col min="1893" max="1893" width="11.44140625" style="1" bestFit="1" customWidth="1"/>
    <col min="1894" max="1894" width="14.109375" style="1" bestFit="1" customWidth="1"/>
    <col min="1895" max="1895" width="11.44140625" style="1" bestFit="1" customWidth="1"/>
    <col min="1896" max="2139" width="11.44140625" style="1" customWidth="1"/>
    <col min="2140" max="2140" width="9.44140625" style="1" customWidth="1"/>
    <col min="2141" max="2141" width="51.44140625" style="1"/>
    <col min="2142" max="2142" width="8.6640625" style="1" customWidth="1"/>
    <col min="2143" max="2143" width="50.6640625" style="1" customWidth="1"/>
    <col min="2144" max="2144" width="22.6640625" style="1" customWidth="1"/>
    <col min="2145" max="2145" width="7.6640625" style="1" customWidth="1"/>
    <col min="2146" max="2146" width="10.6640625" style="1" customWidth="1"/>
    <col min="2147" max="2147" width="16.44140625" style="1" customWidth="1"/>
    <col min="2148" max="2148" width="18.6640625" style="1" customWidth="1"/>
    <col min="2149" max="2149" width="11.44140625" style="1" bestFit="1" customWidth="1"/>
    <col min="2150" max="2150" width="14.109375" style="1" bestFit="1" customWidth="1"/>
    <col min="2151" max="2151" width="11.44140625" style="1" bestFit="1" customWidth="1"/>
    <col min="2152" max="2395" width="11.44140625" style="1" customWidth="1"/>
    <col min="2396" max="2396" width="9.44140625" style="1" customWidth="1"/>
    <col min="2397" max="2397" width="51.44140625" style="1"/>
    <col min="2398" max="2398" width="8.6640625" style="1" customWidth="1"/>
    <col min="2399" max="2399" width="50.6640625" style="1" customWidth="1"/>
    <col min="2400" max="2400" width="22.6640625" style="1" customWidth="1"/>
    <col min="2401" max="2401" width="7.6640625" style="1" customWidth="1"/>
    <col min="2402" max="2402" width="10.6640625" style="1" customWidth="1"/>
    <col min="2403" max="2403" width="16.44140625" style="1" customWidth="1"/>
    <col min="2404" max="2404" width="18.6640625" style="1" customWidth="1"/>
    <col min="2405" max="2405" width="11.44140625" style="1" bestFit="1" customWidth="1"/>
    <col min="2406" max="2406" width="14.109375" style="1" bestFit="1" customWidth="1"/>
    <col min="2407" max="2407" width="11.44140625" style="1" bestFit="1" customWidth="1"/>
    <col min="2408" max="2651" width="11.44140625" style="1" customWidth="1"/>
    <col min="2652" max="2652" width="9.44140625" style="1" customWidth="1"/>
    <col min="2653" max="2653" width="51.44140625" style="1"/>
    <col min="2654" max="2654" width="8.6640625" style="1" customWidth="1"/>
    <col min="2655" max="2655" width="50.6640625" style="1" customWidth="1"/>
    <col min="2656" max="2656" width="22.6640625" style="1" customWidth="1"/>
    <col min="2657" max="2657" width="7.6640625" style="1" customWidth="1"/>
    <col min="2658" max="2658" width="10.6640625" style="1" customWidth="1"/>
    <col min="2659" max="2659" width="16.44140625" style="1" customWidth="1"/>
    <col min="2660" max="2660" width="18.6640625" style="1" customWidth="1"/>
    <col min="2661" max="2661" width="11.44140625" style="1" bestFit="1" customWidth="1"/>
    <col min="2662" max="2662" width="14.109375" style="1" bestFit="1" customWidth="1"/>
    <col min="2663" max="2663" width="11.44140625" style="1" bestFit="1" customWidth="1"/>
    <col min="2664" max="2907" width="11.44140625" style="1" customWidth="1"/>
    <col min="2908" max="2908" width="9.44140625" style="1" customWidth="1"/>
    <col min="2909" max="2909" width="51.44140625" style="1"/>
    <col min="2910" max="2910" width="8.6640625" style="1" customWidth="1"/>
    <col min="2911" max="2911" width="50.6640625" style="1" customWidth="1"/>
    <col min="2912" max="2912" width="22.6640625" style="1" customWidth="1"/>
    <col min="2913" max="2913" width="7.6640625" style="1" customWidth="1"/>
    <col min="2914" max="2914" width="10.6640625" style="1" customWidth="1"/>
    <col min="2915" max="2915" width="16.44140625" style="1" customWidth="1"/>
    <col min="2916" max="2916" width="18.6640625" style="1" customWidth="1"/>
    <col min="2917" max="2917" width="11.44140625" style="1" bestFit="1" customWidth="1"/>
    <col min="2918" max="2918" width="14.109375" style="1" bestFit="1" customWidth="1"/>
    <col min="2919" max="2919" width="11.44140625" style="1" bestFit="1" customWidth="1"/>
    <col min="2920" max="3163" width="11.44140625" style="1" customWidth="1"/>
    <col min="3164" max="3164" width="9.44140625" style="1" customWidth="1"/>
    <col min="3165" max="3165" width="51.44140625" style="1"/>
    <col min="3166" max="3166" width="8.6640625" style="1" customWidth="1"/>
    <col min="3167" max="3167" width="50.6640625" style="1" customWidth="1"/>
    <col min="3168" max="3168" width="22.6640625" style="1" customWidth="1"/>
    <col min="3169" max="3169" width="7.6640625" style="1" customWidth="1"/>
    <col min="3170" max="3170" width="10.6640625" style="1" customWidth="1"/>
    <col min="3171" max="3171" width="16.44140625" style="1" customWidth="1"/>
    <col min="3172" max="3172" width="18.6640625" style="1" customWidth="1"/>
    <col min="3173" max="3173" width="11.44140625" style="1" bestFit="1" customWidth="1"/>
    <col min="3174" max="3174" width="14.109375" style="1" bestFit="1" customWidth="1"/>
    <col min="3175" max="3175" width="11.44140625" style="1" bestFit="1" customWidth="1"/>
    <col min="3176" max="3419" width="11.44140625" style="1" customWidth="1"/>
    <col min="3420" max="3420" width="9.44140625" style="1" customWidth="1"/>
    <col min="3421" max="3421" width="51.44140625" style="1"/>
    <col min="3422" max="3422" width="8.6640625" style="1" customWidth="1"/>
    <col min="3423" max="3423" width="50.6640625" style="1" customWidth="1"/>
    <col min="3424" max="3424" width="22.6640625" style="1" customWidth="1"/>
    <col min="3425" max="3425" width="7.6640625" style="1" customWidth="1"/>
    <col min="3426" max="3426" width="10.6640625" style="1" customWidth="1"/>
    <col min="3427" max="3427" width="16.44140625" style="1" customWidth="1"/>
    <col min="3428" max="3428" width="18.6640625" style="1" customWidth="1"/>
    <col min="3429" max="3429" width="11.44140625" style="1" bestFit="1" customWidth="1"/>
    <col min="3430" max="3430" width="14.109375" style="1" bestFit="1" customWidth="1"/>
    <col min="3431" max="3431" width="11.44140625" style="1" bestFit="1" customWidth="1"/>
    <col min="3432" max="3675" width="11.44140625" style="1" customWidth="1"/>
    <col min="3676" max="3676" width="9.44140625" style="1" customWidth="1"/>
    <col min="3677" max="3677" width="51.44140625" style="1"/>
    <col min="3678" max="3678" width="8.6640625" style="1" customWidth="1"/>
    <col min="3679" max="3679" width="50.6640625" style="1" customWidth="1"/>
    <col min="3680" max="3680" width="22.6640625" style="1" customWidth="1"/>
    <col min="3681" max="3681" width="7.6640625" style="1" customWidth="1"/>
    <col min="3682" max="3682" width="10.6640625" style="1" customWidth="1"/>
    <col min="3683" max="3683" width="16.44140625" style="1" customWidth="1"/>
    <col min="3684" max="3684" width="18.6640625" style="1" customWidth="1"/>
    <col min="3685" max="3685" width="11.44140625" style="1" bestFit="1" customWidth="1"/>
    <col min="3686" max="3686" width="14.109375" style="1" bestFit="1" customWidth="1"/>
    <col min="3687" max="3687" width="11.44140625" style="1" bestFit="1" customWidth="1"/>
    <col min="3688" max="3931" width="11.44140625" style="1" customWidth="1"/>
    <col min="3932" max="3932" width="9.44140625" style="1" customWidth="1"/>
    <col min="3933" max="3933" width="51.44140625" style="1"/>
    <col min="3934" max="3934" width="8.6640625" style="1" customWidth="1"/>
    <col min="3935" max="3935" width="50.6640625" style="1" customWidth="1"/>
    <col min="3936" max="3936" width="22.6640625" style="1" customWidth="1"/>
    <col min="3937" max="3937" width="7.6640625" style="1" customWidth="1"/>
    <col min="3938" max="3938" width="10.6640625" style="1" customWidth="1"/>
    <col min="3939" max="3939" width="16.44140625" style="1" customWidth="1"/>
    <col min="3940" max="3940" width="18.6640625" style="1" customWidth="1"/>
    <col min="3941" max="3941" width="11.44140625" style="1" bestFit="1" customWidth="1"/>
    <col min="3942" max="3942" width="14.109375" style="1" bestFit="1" customWidth="1"/>
    <col min="3943" max="3943" width="11.44140625" style="1" bestFit="1" customWidth="1"/>
    <col min="3944" max="4187" width="11.44140625" style="1" customWidth="1"/>
    <col min="4188" max="4188" width="9.44140625" style="1" customWidth="1"/>
    <col min="4189" max="4189" width="51.44140625" style="1"/>
    <col min="4190" max="4190" width="8.6640625" style="1" customWidth="1"/>
    <col min="4191" max="4191" width="50.6640625" style="1" customWidth="1"/>
    <col min="4192" max="4192" width="22.6640625" style="1" customWidth="1"/>
    <col min="4193" max="4193" width="7.6640625" style="1" customWidth="1"/>
    <col min="4194" max="4194" width="10.6640625" style="1" customWidth="1"/>
    <col min="4195" max="4195" width="16.44140625" style="1" customWidth="1"/>
    <col min="4196" max="4196" width="18.6640625" style="1" customWidth="1"/>
    <col min="4197" max="4197" width="11.44140625" style="1" bestFit="1" customWidth="1"/>
    <col min="4198" max="4198" width="14.109375" style="1" bestFit="1" customWidth="1"/>
    <col min="4199" max="4199" width="11.44140625" style="1" bestFit="1" customWidth="1"/>
    <col min="4200" max="4443" width="11.44140625" style="1" customWidth="1"/>
    <col min="4444" max="4444" width="9.44140625" style="1" customWidth="1"/>
    <col min="4445" max="4445" width="51.44140625" style="1"/>
    <col min="4446" max="4446" width="8.6640625" style="1" customWidth="1"/>
    <col min="4447" max="4447" width="50.6640625" style="1" customWidth="1"/>
    <col min="4448" max="4448" width="22.6640625" style="1" customWidth="1"/>
    <col min="4449" max="4449" width="7.6640625" style="1" customWidth="1"/>
    <col min="4450" max="4450" width="10.6640625" style="1" customWidth="1"/>
    <col min="4451" max="4451" width="16.44140625" style="1" customWidth="1"/>
    <col min="4452" max="4452" width="18.6640625" style="1" customWidth="1"/>
    <col min="4453" max="4453" width="11.44140625" style="1" bestFit="1" customWidth="1"/>
    <col min="4454" max="4454" width="14.109375" style="1" bestFit="1" customWidth="1"/>
    <col min="4455" max="4455" width="11.44140625" style="1" bestFit="1" customWidth="1"/>
    <col min="4456" max="4699" width="11.44140625" style="1" customWidth="1"/>
    <col min="4700" max="4700" width="9.44140625" style="1" customWidth="1"/>
    <col min="4701" max="4701" width="51.44140625" style="1"/>
    <col min="4702" max="4702" width="8.6640625" style="1" customWidth="1"/>
    <col min="4703" max="4703" width="50.6640625" style="1" customWidth="1"/>
    <col min="4704" max="4704" width="22.6640625" style="1" customWidth="1"/>
    <col min="4705" max="4705" width="7.6640625" style="1" customWidth="1"/>
    <col min="4706" max="4706" width="10.6640625" style="1" customWidth="1"/>
    <col min="4707" max="4707" width="16.44140625" style="1" customWidth="1"/>
    <col min="4708" max="4708" width="18.6640625" style="1" customWidth="1"/>
    <col min="4709" max="4709" width="11.44140625" style="1" bestFit="1" customWidth="1"/>
    <col min="4710" max="4710" width="14.109375" style="1" bestFit="1" customWidth="1"/>
    <col min="4711" max="4711" width="11.44140625" style="1" bestFit="1" customWidth="1"/>
    <col min="4712" max="4955" width="11.44140625" style="1" customWidth="1"/>
    <col min="4956" max="4956" width="9.44140625" style="1" customWidth="1"/>
    <col min="4957" max="4957" width="51.44140625" style="1"/>
    <col min="4958" max="4958" width="8.6640625" style="1" customWidth="1"/>
    <col min="4959" max="4959" width="50.6640625" style="1" customWidth="1"/>
    <col min="4960" max="4960" width="22.6640625" style="1" customWidth="1"/>
    <col min="4961" max="4961" width="7.6640625" style="1" customWidth="1"/>
    <col min="4962" max="4962" width="10.6640625" style="1" customWidth="1"/>
    <col min="4963" max="4963" width="16.44140625" style="1" customWidth="1"/>
    <col min="4964" max="4964" width="18.6640625" style="1" customWidth="1"/>
    <col min="4965" max="4965" width="11.44140625" style="1" bestFit="1" customWidth="1"/>
    <col min="4966" max="4966" width="14.109375" style="1" bestFit="1" customWidth="1"/>
    <col min="4967" max="4967" width="11.44140625" style="1" bestFit="1" customWidth="1"/>
    <col min="4968" max="5211" width="11.44140625" style="1" customWidth="1"/>
    <col min="5212" max="5212" width="9.44140625" style="1" customWidth="1"/>
    <col min="5213" max="5213" width="51.44140625" style="1"/>
    <col min="5214" max="5214" width="8.6640625" style="1" customWidth="1"/>
    <col min="5215" max="5215" width="50.6640625" style="1" customWidth="1"/>
    <col min="5216" max="5216" width="22.6640625" style="1" customWidth="1"/>
    <col min="5217" max="5217" width="7.6640625" style="1" customWidth="1"/>
    <col min="5218" max="5218" width="10.6640625" style="1" customWidth="1"/>
    <col min="5219" max="5219" width="16.44140625" style="1" customWidth="1"/>
    <col min="5220" max="5220" width="18.6640625" style="1" customWidth="1"/>
    <col min="5221" max="5221" width="11.44140625" style="1" bestFit="1" customWidth="1"/>
    <col min="5222" max="5222" width="14.109375" style="1" bestFit="1" customWidth="1"/>
    <col min="5223" max="5223" width="11.44140625" style="1" bestFit="1" customWidth="1"/>
    <col min="5224" max="5467" width="11.44140625" style="1" customWidth="1"/>
    <col min="5468" max="5468" width="9.44140625" style="1" customWidth="1"/>
    <col min="5469" max="5469" width="51.44140625" style="1"/>
    <col min="5470" max="5470" width="8.6640625" style="1" customWidth="1"/>
    <col min="5471" max="5471" width="50.6640625" style="1" customWidth="1"/>
    <col min="5472" max="5472" width="22.6640625" style="1" customWidth="1"/>
    <col min="5473" max="5473" width="7.6640625" style="1" customWidth="1"/>
    <col min="5474" max="5474" width="10.6640625" style="1" customWidth="1"/>
    <col min="5475" max="5475" width="16.44140625" style="1" customWidth="1"/>
    <col min="5476" max="5476" width="18.6640625" style="1" customWidth="1"/>
    <col min="5477" max="5477" width="11.44140625" style="1" bestFit="1" customWidth="1"/>
    <col min="5478" max="5478" width="14.109375" style="1" bestFit="1" customWidth="1"/>
    <col min="5479" max="5479" width="11.44140625" style="1" bestFit="1" customWidth="1"/>
    <col min="5480" max="5723" width="11.44140625" style="1" customWidth="1"/>
    <col min="5724" max="5724" width="9.44140625" style="1" customWidth="1"/>
    <col min="5725" max="5725" width="51.44140625" style="1"/>
    <col min="5726" max="5726" width="8.6640625" style="1" customWidth="1"/>
    <col min="5727" max="5727" width="50.6640625" style="1" customWidth="1"/>
    <col min="5728" max="5728" width="22.6640625" style="1" customWidth="1"/>
    <col min="5729" max="5729" width="7.6640625" style="1" customWidth="1"/>
    <col min="5730" max="5730" width="10.6640625" style="1" customWidth="1"/>
    <col min="5731" max="5731" width="16.44140625" style="1" customWidth="1"/>
    <col min="5732" max="5732" width="18.6640625" style="1" customWidth="1"/>
    <col min="5733" max="5733" width="11.44140625" style="1" bestFit="1" customWidth="1"/>
    <col min="5734" max="5734" width="14.109375" style="1" bestFit="1" customWidth="1"/>
    <col min="5735" max="5735" width="11.44140625" style="1" bestFit="1" customWidth="1"/>
    <col min="5736" max="5979" width="11.44140625" style="1" customWidth="1"/>
    <col min="5980" max="5980" width="9.44140625" style="1" customWidth="1"/>
    <col min="5981" max="5981" width="51.44140625" style="1"/>
    <col min="5982" max="5982" width="8.6640625" style="1" customWidth="1"/>
    <col min="5983" max="5983" width="50.6640625" style="1" customWidth="1"/>
    <col min="5984" max="5984" width="22.6640625" style="1" customWidth="1"/>
    <col min="5985" max="5985" width="7.6640625" style="1" customWidth="1"/>
    <col min="5986" max="5986" width="10.6640625" style="1" customWidth="1"/>
    <col min="5987" max="5987" width="16.44140625" style="1" customWidth="1"/>
    <col min="5988" max="5988" width="18.6640625" style="1" customWidth="1"/>
    <col min="5989" max="5989" width="11.44140625" style="1" bestFit="1" customWidth="1"/>
    <col min="5990" max="5990" width="14.109375" style="1" bestFit="1" customWidth="1"/>
    <col min="5991" max="5991" width="11.44140625" style="1" bestFit="1" customWidth="1"/>
    <col min="5992" max="6235" width="11.44140625" style="1" customWidth="1"/>
    <col min="6236" max="6236" width="9.44140625" style="1" customWidth="1"/>
    <col min="6237" max="6237" width="51.44140625" style="1"/>
    <col min="6238" max="6238" width="8.6640625" style="1" customWidth="1"/>
    <col min="6239" max="6239" width="50.6640625" style="1" customWidth="1"/>
    <col min="6240" max="6240" width="22.6640625" style="1" customWidth="1"/>
    <col min="6241" max="6241" width="7.6640625" style="1" customWidth="1"/>
    <col min="6242" max="6242" width="10.6640625" style="1" customWidth="1"/>
    <col min="6243" max="6243" width="16.44140625" style="1" customWidth="1"/>
    <col min="6244" max="6244" width="18.6640625" style="1" customWidth="1"/>
    <col min="6245" max="6245" width="11.44140625" style="1" bestFit="1" customWidth="1"/>
    <col min="6246" max="6246" width="14.109375" style="1" bestFit="1" customWidth="1"/>
    <col min="6247" max="6247" width="11.44140625" style="1" bestFit="1" customWidth="1"/>
    <col min="6248" max="6491" width="11.44140625" style="1" customWidth="1"/>
    <col min="6492" max="6492" width="9.44140625" style="1" customWidth="1"/>
    <col min="6493" max="6493" width="51.44140625" style="1"/>
    <col min="6494" max="6494" width="8.6640625" style="1" customWidth="1"/>
    <col min="6495" max="6495" width="50.6640625" style="1" customWidth="1"/>
    <col min="6496" max="6496" width="22.6640625" style="1" customWidth="1"/>
    <col min="6497" max="6497" width="7.6640625" style="1" customWidth="1"/>
    <col min="6498" max="6498" width="10.6640625" style="1" customWidth="1"/>
    <col min="6499" max="6499" width="16.44140625" style="1" customWidth="1"/>
    <col min="6500" max="6500" width="18.6640625" style="1" customWidth="1"/>
    <col min="6501" max="6501" width="11.44140625" style="1" bestFit="1" customWidth="1"/>
    <col min="6502" max="6502" width="14.109375" style="1" bestFit="1" customWidth="1"/>
    <col min="6503" max="6503" width="11.44140625" style="1" bestFit="1" customWidth="1"/>
    <col min="6504" max="6747" width="11.44140625" style="1" customWidth="1"/>
    <col min="6748" max="6748" width="9.44140625" style="1" customWidth="1"/>
    <col min="6749" max="6749" width="51.44140625" style="1"/>
    <col min="6750" max="6750" width="8.6640625" style="1" customWidth="1"/>
    <col min="6751" max="6751" width="50.6640625" style="1" customWidth="1"/>
    <col min="6752" max="6752" width="22.6640625" style="1" customWidth="1"/>
    <col min="6753" max="6753" width="7.6640625" style="1" customWidth="1"/>
    <col min="6754" max="6754" width="10.6640625" style="1" customWidth="1"/>
    <col min="6755" max="6755" width="16.44140625" style="1" customWidth="1"/>
    <col min="6756" max="6756" width="18.6640625" style="1" customWidth="1"/>
    <col min="6757" max="6757" width="11.44140625" style="1" bestFit="1" customWidth="1"/>
    <col min="6758" max="6758" width="14.109375" style="1" bestFit="1" customWidth="1"/>
    <col min="6759" max="6759" width="11.44140625" style="1" bestFit="1" customWidth="1"/>
    <col min="6760" max="7003" width="11.44140625" style="1" customWidth="1"/>
    <col min="7004" max="7004" width="9.44140625" style="1" customWidth="1"/>
    <col min="7005" max="7005" width="51.44140625" style="1"/>
    <col min="7006" max="7006" width="8.6640625" style="1" customWidth="1"/>
    <col min="7007" max="7007" width="50.6640625" style="1" customWidth="1"/>
    <col min="7008" max="7008" width="22.6640625" style="1" customWidth="1"/>
    <col min="7009" max="7009" width="7.6640625" style="1" customWidth="1"/>
    <col min="7010" max="7010" width="10.6640625" style="1" customWidth="1"/>
    <col min="7011" max="7011" width="16.44140625" style="1" customWidth="1"/>
    <col min="7012" max="7012" width="18.6640625" style="1" customWidth="1"/>
    <col min="7013" max="7013" width="11.44140625" style="1" bestFit="1" customWidth="1"/>
    <col min="7014" max="7014" width="14.109375" style="1" bestFit="1" customWidth="1"/>
    <col min="7015" max="7015" width="11.44140625" style="1" bestFit="1" customWidth="1"/>
    <col min="7016" max="7259" width="11.44140625" style="1" customWidth="1"/>
    <col min="7260" max="7260" width="9.44140625" style="1" customWidth="1"/>
    <col min="7261" max="7261" width="51.44140625" style="1"/>
    <col min="7262" max="7262" width="8.6640625" style="1" customWidth="1"/>
    <col min="7263" max="7263" width="50.6640625" style="1" customWidth="1"/>
    <col min="7264" max="7264" width="22.6640625" style="1" customWidth="1"/>
    <col min="7265" max="7265" width="7.6640625" style="1" customWidth="1"/>
    <col min="7266" max="7266" width="10.6640625" style="1" customWidth="1"/>
    <col min="7267" max="7267" width="16.44140625" style="1" customWidth="1"/>
    <col min="7268" max="7268" width="18.6640625" style="1" customWidth="1"/>
    <col min="7269" max="7269" width="11.44140625" style="1" bestFit="1" customWidth="1"/>
    <col min="7270" max="7270" width="14.109375" style="1" bestFit="1" customWidth="1"/>
    <col min="7271" max="7271" width="11.44140625" style="1" bestFit="1" customWidth="1"/>
    <col min="7272" max="7515" width="11.44140625" style="1" customWidth="1"/>
    <col min="7516" max="7516" width="9.44140625" style="1" customWidth="1"/>
    <col min="7517" max="7517" width="51.44140625" style="1"/>
    <col min="7518" max="7518" width="8.6640625" style="1" customWidth="1"/>
    <col min="7519" max="7519" width="50.6640625" style="1" customWidth="1"/>
    <col min="7520" max="7520" width="22.6640625" style="1" customWidth="1"/>
    <col min="7521" max="7521" width="7.6640625" style="1" customWidth="1"/>
    <col min="7522" max="7522" width="10.6640625" style="1" customWidth="1"/>
    <col min="7523" max="7523" width="16.44140625" style="1" customWidth="1"/>
    <col min="7524" max="7524" width="18.6640625" style="1" customWidth="1"/>
    <col min="7525" max="7525" width="11.44140625" style="1" bestFit="1" customWidth="1"/>
    <col min="7526" max="7526" width="14.109375" style="1" bestFit="1" customWidth="1"/>
    <col min="7527" max="7527" width="11.44140625" style="1" bestFit="1" customWidth="1"/>
    <col min="7528" max="7771" width="11.44140625" style="1" customWidth="1"/>
    <col min="7772" max="7772" width="9.44140625" style="1" customWidth="1"/>
    <col min="7773" max="7773" width="51.44140625" style="1"/>
    <col min="7774" max="7774" width="8.6640625" style="1" customWidth="1"/>
    <col min="7775" max="7775" width="50.6640625" style="1" customWidth="1"/>
    <col min="7776" max="7776" width="22.6640625" style="1" customWidth="1"/>
    <col min="7777" max="7777" width="7.6640625" style="1" customWidth="1"/>
    <col min="7778" max="7778" width="10.6640625" style="1" customWidth="1"/>
    <col min="7779" max="7779" width="16.44140625" style="1" customWidth="1"/>
    <col min="7780" max="7780" width="18.6640625" style="1" customWidth="1"/>
    <col min="7781" max="7781" width="11.44140625" style="1" bestFit="1" customWidth="1"/>
    <col min="7782" max="7782" width="14.109375" style="1" bestFit="1" customWidth="1"/>
    <col min="7783" max="7783" width="11.44140625" style="1" bestFit="1" customWidth="1"/>
    <col min="7784" max="8027" width="11.44140625" style="1" customWidth="1"/>
    <col min="8028" max="8028" width="9.44140625" style="1" customWidth="1"/>
    <col min="8029" max="8029" width="51.44140625" style="1"/>
    <col min="8030" max="8030" width="8.6640625" style="1" customWidth="1"/>
    <col min="8031" max="8031" width="50.6640625" style="1" customWidth="1"/>
    <col min="8032" max="8032" width="22.6640625" style="1" customWidth="1"/>
    <col min="8033" max="8033" width="7.6640625" style="1" customWidth="1"/>
    <col min="8034" max="8034" width="10.6640625" style="1" customWidth="1"/>
    <col min="8035" max="8035" width="16.44140625" style="1" customWidth="1"/>
    <col min="8036" max="8036" width="18.6640625" style="1" customWidth="1"/>
    <col min="8037" max="8037" width="11.44140625" style="1" bestFit="1" customWidth="1"/>
    <col min="8038" max="8038" width="14.109375" style="1" bestFit="1" customWidth="1"/>
    <col min="8039" max="8039" width="11.44140625" style="1" bestFit="1" customWidth="1"/>
    <col min="8040" max="8283" width="11.44140625" style="1" customWidth="1"/>
    <col min="8284" max="8284" width="9.44140625" style="1" customWidth="1"/>
    <col min="8285" max="8285" width="51.44140625" style="1"/>
    <col min="8286" max="8286" width="8.6640625" style="1" customWidth="1"/>
    <col min="8287" max="8287" width="50.6640625" style="1" customWidth="1"/>
    <col min="8288" max="8288" width="22.6640625" style="1" customWidth="1"/>
    <col min="8289" max="8289" width="7.6640625" style="1" customWidth="1"/>
    <col min="8290" max="8290" width="10.6640625" style="1" customWidth="1"/>
    <col min="8291" max="8291" width="16.44140625" style="1" customWidth="1"/>
    <col min="8292" max="8292" width="18.6640625" style="1" customWidth="1"/>
    <col min="8293" max="8293" width="11.44140625" style="1" bestFit="1" customWidth="1"/>
    <col min="8294" max="8294" width="14.109375" style="1" bestFit="1" customWidth="1"/>
    <col min="8295" max="8295" width="11.44140625" style="1" bestFit="1" customWidth="1"/>
    <col min="8296" max="8539" width="11.44140625" style="1" customWidth="1"/>
    <col min="8540" max="8540" width="9.44140625" style="1" customWidth="1"/>
    <col min="8541" max="8541" width="51.44140625" style="1"/>
    <col min="8542" max="8542" width="8.6640625" style="1" customWidth="1"/>
    <col min="8543" max="8543" width="50.6640625" style="1" customWidth="1"/>
    <col min="8544" max="8544" width="22.6640625" style="1" customWidth="1"/>
    <col min="8545" max="8545" width="7.6640625" style="1" customWidth="1"/>
    <col min="8546" max="8546" width="10.6640625" style="1" customWidth="1"/>
    <col min="8547" max="8547" width="16.44140625" style="1" customWidth="1"/>
    <col min="8548" max="8548" width="18.6640625" style="1" customWidth="1"/>
    <col min="8549" max="8549" width="11.44140625" style="1" bestFit="1" customWidth="1"/>
    <col min="8550" max="8550" width="14.109375" style="1" bestFit="1" customWidth="1"/>
    <col min="8551" max="8551" width="11.44140625" style="1" bestFit="1" customWidth="1"/>
    <col min="8552" max="8795" width="11.44140625" style="1" customWidth="1"/>
    <col min="8796" max="8796" width="9.44140625" style="1" customWidth="1"/>
    <col min="8797" max="8797" width="51.44140625" style="1"/>
    <col min="8798" max="8798" width="8.6640625" style="1" customWidth="1"/>
    <col min="8799" max="8799" width="50.6640625" style="1" customWidth="1"/>
    <col min="8800" max="8800" width="22.6640625" style="1" customWidth="1"/>
    <col min="8801" max="8801" width="7.6640625" style="1" customWidth="1"/>
    <col min="8802" max="8802" width="10.6640625" style="1" customWidth="1"/>
    <col min="8803" max="8803" width="16.44140625" style="1" customWidth="1"/>
    <col min="8804" max="8804" width="18.6640625" style="1" customWidth="1"/>
    <col min="8805" max="8805" width="11.44140625" style="1" bestFit="1" customWidth="1"/>
    <col min="8806" max="8806" width="14.109375" style="1" bestFit="1" customWidth="1"/>
    <col min="8807" max="8807" width="11.44140625" style="1" bestFit="1" customWidth="1"/>
    <col min="8808" max="9051" width="11.44140625" style="1" customWidth="1"/>
    <col min="9052" max="9052" width="9.44140625" style="1" customWidth="1"/>
    <col min="9053" max="9053" width="51.44140625" style="1"/>
    <col min="9054" max="9054" width="8.6640625" style="1" customWidth="1"/>
    <col min="9055" max="9055" width="50.6640625" style="1" customWidth="1"/>
    <col min="9056" max="9056" width="22.6640625" style="1" customWidth="1"/>
    <col min="9057" max="9057" width="7.6640625" style="1" customWidth="1"/>
    <col min="9058" max="9058" width="10.6640625" style="1" customWidth="1"/>
    <col min="9059" max="9059" width="16.44140625" style="1" customWidth="1"/>
    <col min="9060" max="9060" width="18.6640625" style="1" customWidth="1"/>
    <col min="9061" max="9061" width="11.44140625" style="1" bestFit="1" customWidth="1"/>
    <col min="9062" max="9062" width="14.109375" style="1" bestFit="1" customWidth="1"/>
    <col min="9063" max="9063" width="11.44140625" style="1" bestFit="1" customWidth="1"/>
    <col min="9064" max="9307" width="11.44140625" style="1" customWidth="1"/>
    <col min="9308" max="9308" width="9.44140625" style="1" customWidth="1"/>
    <col min="9309" max="9309" width="51.44140625" style="1"/>
    <col min="9310" max="9310" width="8.6640625" style="1" customWidth="1"/>
    <col min="9311" max="9311" width="50.6640625" style="1" customWidth="1"/>
    <col min="9312" max="9312" width="22.6640625" style="1" customWidth="1"/>
    <col min="9313" max="9313" width="7.6640625" style="1" customWidth="1"/>
    <col min="9314" max="9314" width="10.6640625" style="1" customWidth="1"/>
    <col min="9315" max="9315" width="16.44140625" style="1" customWidth="1"/>
    <col min="9316" max="9316" width="18.6640625" style="1" customWidth="1"/>
    <col min="9317" max="9317" width="11.44140625" style="1" bestFit="1" customWidth="1"/>
    <col min="9318" max="9318" width="14.109375" style="1" bestFit="1" customWidth="1"/>
    <col min="9319" max="9319" width="11.44140625" style="1" bestFit="1" customWidth="1"/>
    <col min="9320" max="9563" width="11.44140625" style="1" customWidth="1"/>
    <col min="9564" max="9564" width="9.44140625" style="1" customWidth="1"/>
    <col min="9565" max="9565" width="51.44140625" style="1"/>
    <col min="9566" max="9566" width="8.6640625" style="1" customWidth="1"/>
    <col min="9567" max="9567" width="50.6640625" style="1" customWidth="1"/>
    <col min="9568" max="9568" width="22.6640625" style="1" customWidth="1"/>
    <col min="9569" max="9569" width="7.6640625" style="1" customWidth="1"/>
    <col min="9570" max="9570" width="10.6640625" style="1" customWidth="1"/>
    <col min="9571" max="9571" width="16.44140625" style="1" customWidth="1"/>
    <col min="9572" max="9572" width="18.6640625" style="1" customWidth="1"/>
    <col min="9573" max="9573" width="11.44140625" style="1" bestFit="1" customWidth="1"/>
    <col min="9574" max="9574" width="14.109375" style="1" bestFit="1" customWidth="1"/>
    <col min="9575" max="9575" width="11.44140625" style="1" bestFit="1" customWidth="1"/>
    <col min="9576" max="9819" width="11.44140625" style="1" customWidth="1"/>
    <col min="9820" max="9820" width="9.44140625" style="1" customWidth="1"/>
    <col min="9821" max="9821" width="51.44140625" style="1"/>
    <col min="9822" max="9822" width="8.6640625" style="1" customWidth="1"/>
    <col min="9823" max="9823" width="50.6640625" style="1" customWidth="1"/>
    <col min="9824" max="9824" width="22.6640625" style="1" customWidth="1"/>
    <col min="9825" max="9825" width="7.6640625" style="1" customWidth="1"/>
    <col min="9826" max="9826" width="10.6640625" style="1" customWidth="1"/>
    <col min="9827" max="9827" width="16.44140625" style="1" customWidth="1"/>
    <col min="9828" max="9828" width="18.6640625" style="1" customWidth="1"/>
    <col min="9829" max="9829" width="11.44140625" style="1" bestFit="1" customWidth="1"/>
    <col min="9830" max="9830" width="14.109375" style="1" bestFit="1" customWidth="1"/>
    <col min="9831" max="9831" width="11.44140625" style="1" bestFit="1" customWidth="1"/>
    <col min="9832" max="10075" width="11.44140625" style="1" customWidth="1"/>
    <col min="10076" max="10076" width="9.44140625" style="1" customWidth="1"/>
    <col min="10077" max="10077" width="51.44140625" style="1"/>
    <col min="10078" max="10078" width="8.6640625" style="1" customWidth="1"/>
    <col min="10079" max="10079" width="50.6640625" style="1" customWidth="1"/>
    <col min="10080" max="10080" width="22.6640625" style="1" customWidth="1"/>
    <col min="10081" max="10081" width="7.6640625" style="1" customWidth="1"/>
    <col min="10082" max="10082" width="10.6640625" style="1" customWidth="1"/>
    <col min="10083" max="10083" width="16.44140625" style="1" customWidth="1"/>
    <col min="10084" max="10084" width="18.6640625" style="1" customWidth="1"/>
    <col min="10085" max="10085" width="11.44140625" style="1" bestFit="1" customWidth="1"/>
    <col min="10086" max="10086" width="14.109375" style="1" bestFit="1" customWidth="1"/>
    <col min="10087" max="10087" width="11.44140625" style="1" bestFit="1" customWidth="1"/>
    <col min="10088" max="10331" width="11.44140625" style="1" customWidth="1"/>
    <col min="10332" max="10332" width="9.44140625" style="1" customWidth="1"/>
    <col min="10333" max="10333" width="51.44140625" style="1"/>
    <col min="10334" max="10334" width="8.6640625" style="1" customWidth="1"/>
    <col min="10335" max="10335" width="50.6640625" style="1" customWidth="1"/>
    <col min="10336" max="10336" width="22.6640625" style="1" customWidth="1"/>
    <col min="10337" max="10337" width="7.6640625" style="1" customWidth="1"/>
    <col min="10338" max="10338" width="10.6640625" style="1" customWidth="1"/>
    <col min="10339" max="10339" width="16.44140625" style="1" customWidth="1"/>
    <col min="10340" max="10340" width="18.6640625" style="1" customWidth="1"/>
    <col min="10341" max="10341" width="11.44140625" style="1" bestFit="1" customWidth="1"/>
    <col min="10342" max="10342" width="14.109375" style="1" bestFit="1" customWidth="1"/>
    <col min="10343" max="10343" width="11.44140625" style="1" bestFit="1" customWidth="1"/>
    <col min="10344" max="10587" width="11.44140625" style="1" customWidth="1"/>
    <col min="10588" max="10588" width="9.44140625" style="1" customWidth="1"/>
    <col min="10589" max="10589" width="51.44140625" style="1"/>
    <col min="10590" max="10590" width="8.6640625" style="1" customWidth="1"/>
    <col min="10591" max="10591" width="50.6640625" style="1" customWidth="1"/>
    <col min="10592" max="10592" width="22.6640625" style="1" customWidth="1"/>
    <col min="10593" max="10593" width="7.6640625" style="1" customWidth="1"/>
    <col min="10594" max="10594" width="10.6640625" style="1" customWidth="1"/>
    <col min="10595" max="10595" width="16.44140625" style="1" customWidth="1"/>
    <col min="10596" max="10596" width="18.6640625" style="1" customWidth="1"/>
    <col min="10597" max="10597" width="11.44140625" style="1" bestFit="1" customWidth="1"/>
    <col min="10598" max="10598" width="14.109375" style="1" bestFit="1" customWidth="1"/>
    <col min="10599" max="10599" width="11.44140625" style="1" bestFit="1" customWidth="1"/>
    <col min="10600" max="10843" width="11.44140625" style="1" customWidth="1"/>
    <col min="10844" max="10844" width="9.44140625" style="1" customWidth="1"/>
    <col min="10845" max="10845" width="51.44140625" style="1"/>
    <col min="10846" max="10846" width="8.6640625" style="1" customWidth="1"/>
    <col min="10847" max="10847" width="50.6640625" style="1" customWidth="1"/>
    <col min="10848" max="10848" width="22.6640625" style="1" customWidth="1"/>
    <col min="10849" max="10849" width="7.6640625" style="1" customWidth="1"/>
    <col min="10850" max="10850" width="10.6640625" style="1" customWidth="1"/>
    <col min="10851" max="10851" width="16.44140625" style="1" customWidth="1"/>
    <col min="10852" max="10852" width="18.6640625" style="1" customWidth="1"/>
    <col min="10853" max="10853" width="11.44140625" style="1" bestFit="1" customWidth="1"/>
    <col min="10854" max="10854" width="14.109375" style="1" bestFit="1" customWidth="1"/>
    <col min="10855" max="10855" width="11.44140625" style="1" bestFit="1" customWidth="1"/>
    <col min="10856" max="11099" width="11.44140625" style="1" customWidth="1"/>
    <col min="11100" max="11100" width="9.44140625" style="1" customWidth="1"/>
    <col min="11101" max="11101" width="51.44140625" style="1"/>
    <col min="11102" max="11102" width="8.6640625" style="1" customWidth="1"/>
    <col min="11103" max="11103" width="50.6640625" style="1" customWidth="1"/>
    <col min="11104" max="11104" width="22.6640625" style="1" customWidth="1"/>
    <col min="11105" max="11105" width="7.6640625" style="1" customWidth="1"/>
    <col min="11106" max="11106" width="10.6640625" style="1" customWidth="1"/>
    <col min="11107" max="11107" width="16.44140625" style="1" customWidth="1"/>
    <col min="11108" max="11108" width="18.6640625" style="1" customWidth="1"/>
    <col min="11109" max="11109" width="11.44140625" style="1" bestFit="1" customWidth="1"/>
    <col min="11110" max="11110" width="14.109375" style="1" bestFit="1" customWidth="1"/>
    <col min="11111" max="11111" width="11.44140625" style="1" bestFit="1" customWidth="1"/>
    <col min="11112" max="11355" width="11.44140625" style="1" customWidth="1"/>
    <col min="11356" max="11356" width="9.44140625" style="1" customWidth="1"/>
    <col min="11357" max="11357" width="51.44140625" style="1"/>
    <col min="11358" max="11358" width="8.6640625" style="1" customWidth="1"/>
    <col min="11359" max="11359" width="50.6640625" style="1" customWidth="1"/>
    <col min="11360" max="11360" width="22.6640625" style="1" customWidth="1"/>
    <col min="11361" max="11361" width="7.6640625" style="1" customWidth="1"/>
    <col min="11362" max="11362" width="10.6640625" style="1" customWidth="1"/>
    <col min="11363" max="11363" width="16.44140625" style="1" customWidth="1"/>
    <col min="11364" max="11364" width="18.6640625" style="1" customWidth="1"/>
    <col min="11365" max="11365" width="11.44140625" style="1" bestFit="1" customWidth="1"/>
    <col min="11366" max="11366" width="14.109375" style="1" bestFit="1" customWidth="1"/>
    <col min="11367" max="11367" width="11.44140625" style="1" bestFit="1" customWidth="1"/>
    <col min="11368" max="11611" width="11.44140625" style="1" customWidth="1"/>
    <col min="11612" max="11612" width="9.44140625" style="1" customWidth="1"/>
    <col min="11613" max="11613" width="51.44140625" style="1"/>
    <col min="11614" max="11614" width="8.6640625" style="1" customWidth="1"/>
    <col min="11615" max="11615" width="50.6640625" style="1" customWidth="1"/>
    <col min="11616" max="11616" width="22.6640625" style="1" customWidth="1"/>
    <col min="11617" max="11617" width="7.6640625" style="1" customWidth="1"/>
    <col min="11618" max="11618" width="10.6640625" style="1" customWidth="1"/>
    <col min="11619" max="11619" width="16.44140625" style="1" customWidth="1"/>
    <col min="11620" max="11620" width="18.6640625" style="1" customWidth="1"/>
    <col min="11621" max="11621" width="11.44140625" style="1" bestFit="1" customWidth="1"/>
    <col min="11622" max="11622" width="14.109375" style="1" bestFit="1" customWidth="1"/>
    <col min="11623" max="11623" width="11.44140625" style="1" bestFit="1" customWidth="1"/>
    <col min="11624" max="11867" width="11.44140625" style="1" customWidth="1"/>
    <col min="11868" max="11868" width="9.44140625" style="1" customWidth="1"/>
    <col min="11869" max="11869" width="51.44140625" style="1"/>
    <col min="11870" max="11870" width="8.6640625" style="1" customWidth="1"/>
    <col min="11871" max="11871" width="50.6640625" style="1" customWidth="1"/>
    <col min="11872" max="11872" width="22.6640625" style="1" customWidth="1"/>
    <col min="11873" max="11873" width="7.6640625" style="1" customWidth="1"/>
    <col min="11874" max="11874" width="10.6640625" style="1" customWidth="1"/>
    <col min="11875" max="11875" width="16.44140625" style="1" customWidth="1"/>
    <col min="11876" max="11876" width="18.6640625" style="1" customWidth="1"/>
    <col min="11877" max="11877" width="11.44140625" style="1" bestFit="1" customWidth="1"/>
    <col min="11878" max="11878" width="14.109375" style="1" bestFit="1" customWidth="1"/>
    <col min="11879" max="11879" width="11.44140625" style="1" bestFit="1" customWidth="1"/>
    <col min="11880" max="12123" width="11.44140625" style="1" customWidth="1"/>
    <col min="12124" max="12124" width="9.44140625" style="1" customWidth="1"/>
    <col min="12125" max="12125" width="51.44140625" style="1"/>
    <col min="12126" max="12126" width="8.6640625" style="1" customWidth="1"/>
    <col min="12127" max="12127" width="50.6640625" style="1" customWidth="1"/>
    <col min="12128" max="12128" width="22.6640625" style="1" customWidth="1"/>
    <col min="12129" max="12129" width="7.6640625" style="1" customWidth="1"/>
    <col min="12130" max="12130" width="10.6640625" style="1" customWidth="1"/>
    <col min="12131" max="12131" width="16.44140625" style="1" customWidth="1"/>
    <col min="12132" max="12132" width="18.6640625" style="1" customWidth="1"/>
    <col min="12133" max="12133" width="11.44140625" style="1" bestFit="1" customWidth="1"/>
    <col min="12134" max="12134" width="14.109375" style="1" bestFit="1" customWidth="1"/>
    <col min="12135" max="12135" width="11.44140625" style="1" bestFit="1" customWidth="1"/>
    <col min="12136" max="12379" width="11.44140625" style="1" customWidth="1"/>
    <col min="12380" max="12380" width="9.44140625" style="1" customWidth="1"/>
    <col min="12381" max="12381" width="51.44140625" style="1"/>
    <col min="12382" max="12382" width="8.6640625" style="1" customWidth="1"/>
    <col min="12383" max="12383" width="50.6640625" style="1" customWidth="1"/>
    <col min="12384" max="12384" width="22.6640625" style="1" customWidth="1"/>
    <col min="12385" max="12385" width="7.6640625" style="1" customWidth="1"/>
    <col min="12386" max="12386" width="10.6640625" style="1" customWidth="1"/>
    <col min="12387" max="12387" width="16.44140625" style="1" customWidth="1"/>
    <col min="12388" max="12388" width="18.6640625" style="1" customWidth="1"/>
    <col min="12389" max="12389" width="11.44140625" style="1" bestFit="1" customWidth="1"/>
    <col min="12390" max="12390" width="14.109375" style="1" bestFit="1" customWidth="1"/>
    <col min="12391" max="12391" width="11.44140625" style="1" bestFit="1" customWidth="1"/>
    <col min="12392" max="12635" width="11.44140625" style="1" customWidth="1"/>
    <col min="12636" max="12636" width="9.44140625" style="1" customWidth="1"/>
    <col min="12637" max="12637" width="51.44140625" style="1"/>
    <col min="12638" max="12638" width="8.6640625" style="1" customWidth="1"/>
    <col min="12639" max="12639" width="50.6640625" style="1" customWidth="1"/>
    <col min="12640" max="12640" width="22.6640625" style="1" customWidth="1"/>
    <col min="12641" max="12641" width="7.6640625" style="1" customWidth="1"/>
    <col min="12642" max="12642" width="10.6640625" style="1" customWidth="1"/>
    <col min="12643" max="12643" width="16.44140625" style="1" customWidth="1"/>
    <col min="12644" max="12644" width="18.6640625" style="1" customWidth="1"/>
    <col min="12645" max="12645" width="11.44140625" style="1" bestFit="1" customWidth="1"/>
    <col min="12646" max="12646" width="14.109375" style="1" bestFit="1" customWidth="1"/>
    <col min="12647" max="12647" width="11.44140625" style="1" bestFit="1" customWidth="1"/>
    <col min="12648" max="12891" width="11.44140625" style="1" customWidth="1"/>
    <col min="12892" max="12892" width="9.44140625" style="1" customWidth="1"/>
    <col min="12893" max="12893" width="51.44140625" style="1"/>
    <col min="12894" max="12894" width="8.6640625" style="1" customWidth="1"/>
    <col min="12895" max="12895" width="50.6640625" style="1" customWidth="1"/>
    <col min="12896" max="12896" width="22.6640625" style="1" customWidth="1"/>
    <col min="12897" max="12897" width="7.6640625" style="1" customWidth="1"/>
    <col min="12898" max="12898" width="10.6640625" style="1" customWidth="1"/>
    <col min="12899" max="12899" width="16.44140625" style="1" customWidth="1"/>
    <col min="12900" max="12900" width="18.6640625" style="1" customWidth="1"/>
    <col min="12901" max="12901" width="11.44140625" style="1" bestFit="1" customWidth="1"/>
    <col min="12902" max="12902" width="14.109375" style="1" bestFit="1" customWidth="1"/>
    <col min="12903" max="12903" width="11.44140625" style="1" bestFit="1" customWidth="1"/>
    <col min="12904" max="13147" width="11.44140625" style="1" customWidth="1"/>
    <col min="13148" max="13148" width="9.44140625" style="1" customWidth="1"/>
    <col min="13149" max="13149" width="51.44140625" style="1"/>
    <col min="13150" max="13150" width="8.6640625" style="1" customWidth="1"/>
    <col min="13151" max="13151" width="50.6640625" style="1" customWidth="1"/>
    <col min="13152" max="13152" width="22.6640625" style="1" customWidth="1"/>
    <col min="13153" max="13153" width="7.6640625" style="1" customWidth="1"/>
    <col min="13154" max="13154" width="10.6640625" style="1" customWidth="1"/>
    <col min="13155" max="13155" width="16.44140625" style="1" customWidth="1"/>
    <col min="13156" max="13156" width="18.6640625" style="1" customWidth="1"/>
    <col min="13157" max="13157" width="11.44140625" style="1" bestFit="1" customWidth="1"/>
    <col min="13158" max="13158" width="14.109375" style="1" bestFit="1" customWidth="1"/>
    <col min="13159" max="13159" width="11.44140625" style="1" bestFit="1" customWidth="1"/>
    <col min="13160" max="13403" width="11.44140625" style="1" customWidth="1"/>
    <col min="13404" max="13404" width="9.44140625" style="1" customWidth="1"/>
    <col min="13405" max="13405" width="51.44140625" style="1"/>
    <col min="13406" max="13406" width="8.6640625" style="1" customWidth="1"/>
    <col min="13407" max="13407" width="50.6640625" style="1" customWidth="1"/>
    <col min="13408" max="13408" width="22.6640625" style="1" customWidth="1"/>
    <col min="13409" max="13409" width="7.6640625" style="1" customWidth="1"/>
    <col min="13410" max="13410" width="10.6640625" style="1" customWidth="1"/>
    <col min="13411" max="13411" width="16.44140625" style="1" customWidth="1"/>
    <col min="13412" max="13412" width="18.6640625" style="1" customWidth="1"/>
    <col min="13413" max="13413" width="11.44140625" style="1" bestFit="1" customWidth="1"/>
    <col min="13414" max="13414" width="14.109375" style="1" bestFit="1" customWidth="1"/>
    <col min="13415" max="13415" width="11.44140625" style="1" bestFit="1" customWidth="1"/>
    <col min="13416" max="13659" width="11.44140625" style="1" customWidth="1"/>
    <col min="13660" max="13660" width="9.44140625" style="1" customWidth="1"/>
    <col min="13661" max="13661" width="51.44140625" style="1"/>
    <col min="13662" max="13662" width="8.6640625" style="1" customWidth="1"/>
    <col min="13663" max="13663" width="50.6640625" style="1" customWidth="1"/>
    <col min="13664" max="13664" width="22.6640625" style="1" customWidth="1"/>
    <col min="13665" max="13665" width="7.6640625" style="1" customWidth="1"/>
    <col min="13666" max="13666" width="10.6640625" style="1" customWidth="1"/>
    <col min="13667" max="13667" width="16.44140625" style="1" customWidth="1"/>
    <col min="13668" max="13668" width="18.6640625" style="1" customWidth="1"/>
    <col min="13669" max="13669" width="11.44140625" style="1" bestFit="1" customWidth="1"/>
    <col min="13670" max="13670" width="14.109375" style="1" bestFit="1" customWidth="1"/>
    <col min="13671" max="13671" width="11.44140625" style="1" bestFit="1" customWidth="1"/>
    <col min="13672" max="13915" width="11.44140625" style="1" customWidth="1"/>
    <col min="13916" max="13916" width="9.44140625" style="1" customWidth="1"/>
    <col min="13917" max="13917" width="51.44140625" style="1"/>
    <col min="13918" max="13918" width="8.6640625" style="1" customWidth="1"/>
    <col min="13919" max="13919" width="50.6640625" style="1" customWidth="1"/>
    <col min="13920" max="13920" width="22.6640625" style="1" customWidth="1"/>
    <col min="13921" max="13921" width="7.6640625" style="1" customWidth="1"/>
    <col min="13922" max="13922" width="10.6640625" style="1" customWidth="1"/>
    <col min="13923" max="13923" width="16.44140625" style="1" customWidth="1"/>
    <col min="13924" max="13924" width="18.6640625" style="1" customWidth="1"/>
    <col min="13925" max="13925" width="11.44140625" style="1" bestFit="1" customWidth="1"/>
    <col min="13926" max="13926" width="14.109375" style="1" bestFit="1" customWidth="1"/>
    <col min="13927" max="13927" width="11.44140625" style="1" bestFit="1" customWidth="1"/>
    <col min="13928" max="14171" width="11.44140625" style="1" customWidth="1"/>
    <col min="14172" max="14172" width="9.44140625" style="1" customWidth="1"/>
    <col min="14173" max="14173" width="51.44140625" style="1"/>
    <col min="14174" max="14174" width="8.6640625" style="1" customWidth="1"/>
    <col min="14175" max="14175" width="50.6640625" style="1" customWidth="1"/>
    <col min="14176" max="14176" width="22.6640625" style="1" customWidth="1"/>
    <col min="14177" max="14177" width="7.6640625" style="1" customWidth="1"/>
    <col min="14178" max="14178" width="10.6640625" style="1" customWidth="1"/>
    <col min="14179" max="14179" width="16.44140625" style="1" customWidth="1"/>
    <col min="14180" max="14180" width="18.6640625" style="1" customWidth="1"/>
    <col min="14181" max="14181" width="11.44140625" style="1" bestFit="1" customWidth="1"/>
    <col min="14182" max="14182" width="14.109375" style="1" bestFit="1" customWidth="1"/>
    <col min="14183" max="14183" width="11.44140625" style="1" bestFit="1" customWidth="1"/>
    <col min="14184" max="14427" width="11.44140625" style="1" customWidth="1"/>
    <col min="14428" max="14428" width="9.44140625" style="1" customWidth="1"/>
    <col min="14429" max="14429" width="51.44140625" style="1"/>
    <col min="14430" max="14430" width="8.6640625" style="1" customWidth="1"/>
    <col min="14431" max="14431" width="50.6640625" style="1" customWidth="1"/>
    <col min="14432" max="14432" width="22.6640625" style="1" customWidth="1"/>
    <col min="14433" max="14433" width="7.6640625" style="1" customWidth="1"/>
    <col min="14434" max="14434" width="10.6640625" style="1" customWidth="1"/>
    <col min="14435" max="14435" width="16.44140625" style="1" customWidth="1"/>
    <col min="14436" max="14436" width="18.6640625" style="1" customWidth="1"/>
    <col min="14437" max="14437" width="11.44140625" style="1" bestFit="1" customWidth="1"/>
    <col min="14438" max="14438" width="14.109375" style="1" bestFit="1" customWidth="1"/>
    <col min="14439" max="14439" width="11.44140625" style="1" bestFit="1" customWidth="1"/>
    <col min="14440" max="14683" width="11.44140625" style="1" customWidth="1"/>
    <col min="14684" max="14684" width="9.44140625" style="1" customWidth="1"/>
    <col min="14685" max="14685" width="51.44140625" style="1"/>
    <col min="14686" max="14686" width="8.6640625" style="1" customWidth="1"/>
    <col min="14687" max="14687" width="50.6640625" style="1" customWidth="1"/>
    <col min="14688" max="14688" width="22.6640625" style="1" customWidth="1"/>
    <col min="14689" max="14689" width="7.6640625" style="1" customWidth="1"/>
    <col min="14690" max="14690" width="10.6640625" style="1" customWidth="1"/>
    <col min="14691" max="14691" width="16.44140625" style="1" customWidth="1"/>
    <col min="14692" max="14692" width="18.6640625" style="1" customWidth="1"/>
    <col min="14693" max="14693" width="11.44140625" style="1" bestFit="1" customWidth="1"/>
    <col min="14694" max="14694" width="14.109375" style="1" bestFit="1" customWidth="1"/>
    <col min="14695" max="14695" width="11.44140625" style="1" bestFit="1" customWidth="1"/>
    <col min="14696" max="14939" width="11.44140625" style="1" customWidth="1"/>
    <col min="14940" max="14940" width="9.44140625" style="1" customWidth="1"/>
    <col min="14941" max="14941" width="51.44140625" style="1"/>
    <col min="14942" max="14942" width="8.6640625" style="1" customWidth="1"/>
    <col min="14943" max="14943" width="50.6640625" style="1" customWidth="1"/>
    <col min="14944" max="14944" width="22.6640625" style="1" customWidth="1"/>
    <col min="14945" max="14945" width="7.6640625" style="1" customWidth="1"/>
    <col min="14946" max="14946" width="10.6640625" style="1" customWidth="1"/>
    <col min="14947" max="14947" width="16.44140625" style="1" customWidth="1"/>
    <col min="14948" max="14948" width="18.6640625" style="1" customWidth="1"/>
    <col min="14949" max="14949" width="11.44140625" style="1" bestFit="1" customWidth="1"/>
    <col min="14950" max="14950" width="14.109375" style="1" bestFit="1" customWidth="1"/>
    <col min="14951" max="14951" width="11.44140625" style="1" bestFit="1" customWidth="1"/>
    <col min="14952" max="15195" width="11.44140625" style="1" customWidth="1"/>
    <col min="15196" max="15196" width="9.44140625" style="1" customWidth="1"/>
    <col min="15197" max="15197" width="51.44140625" style="1"/>
    <col min="15198" max="15198" width="8.6640625" style="1" customWidth="1"/>
    <col min="15199" max="15199" width="50.6640625" style="1" customWidth="1"/>
    <col min="15200" max="15200" width="22.6640625" style="1" customWidth="1"/>
    <col min="15201" max="15201" width="7.6640625" style="1" customWidth="1"/>
    <col min="15202" max="15202" width="10.6640625" style="1" customWidth="1"/>
    <col min="15203" max="15203" width="16.44140625" style="1" customWidth="1"/>
    <col min="15204" max="15204" width="18.6640625" style="1" customWidth="1"/>
    <col min="15205" max="15205" width="11.44140625" style="1" bestFit="1" customWidth="1"/>
    <col min="15206" max="15206" width="14.109375" style="1" bestFit="1" customWidth="1"/>
    <col min="15207" max="15207" width="11.44140625" style="1" bestFit="1" customWidth="1"/>
    <col min="15208" max="15451" width="11.44140625" style="1" customWidth="1"/>
    <col min="15452" max="15452" width="9.44140625" style="1" customWidth="1"/>
    <col min="15453" max="15453" width="51.44140625" style="1"/>
    <col min="15454" max="15454" width="8.6640625" style="1" customWidth="1"/>
    <col min="15455" max="15455" width="50.6640625" style="1" customWidth="1"/>
    <col min="15456" max="15456" width="22.6640625" style="1" customWidth="1"/>
    <col min="15457" max="15457" width="7.6640625" style="1" customWidth="1"/>
    <col min="15458" max="15458" width="10.6640625" style="1" customWidth="1"/>
    <col min="15459" max="15459" width="16.44140625" style="1" customWidth="1"/>
    <col min="15460" max="15460" width="18.6640625" style="1" customWidth="1"/>
    <col min="15461" max="15461" width="11.44140625" style="1" bestFit="1" customWidth="1"/>
    <col min="15462" max="15462" width="14.109375" style="1" bestFit="1" customWidth="1"/>
    <col min="15463" max="15463" width="11.44140625" style="1" bestFit="1" customWidth="1"/>
    <col min="15464" max="15707" width="11.44140625" style="1" customWidth="1"/>
    <col min="15708" max="15708" width="9.44140625" style="1" customWidth="1"/>
    <col min="15709" max="15709" width="51.44140625" style="1"/>
    <col min="15710" max="15710" width="8.6640625" style="1" customWidth="1"/>
    <col min="15711" max="15711" width="50.6640625" style="1" customWidth="1"/>
    <col min="15712" max="15712" width="22.6640625" style="1" customWidth="1"/>
    <col min="15713" max="15713" width="7.6640625" style="1" customWidth="1"/>
    <col min="15714" max="15714" width="10.6640625" style="1" customWidth="1"/>
    <col min="15715" max="15715" width="16.44140625" style="1" customWidth="1"/>
    <col min="15716" max="15716" width="18.6640625" style="1" customWidth="1"/>
    <col min="15717" max="15717" width="11.44140625" style="1" bestFit="1" customWidth="1"/>
    <col min="15718" max="15718" width="14.109375" style="1" bestFit="1" customWidth="1"/>
    <col min="15719" max="15719" width="11.44140625" style="1" bestFit="1" customWidth="1"/>
    <col min="15720" max="15963" width="11.44140625" style="1" customWidth="1"/>
    <col min="15964" max="15964" width="9.44140625" style="1" customWidth="1"/>
    <col min="15965" max="15965" width="51.44140625" style="1"/>
    <col min="15966" max="15966" width="8.6640625" style="1" customWidth="1"/>
    <col min="15967" max="15967" width="50.6640625" style="1" customWidth="1"/>
    <col min="15968" max="15968" width="22.6640625" style="1" customWidth="1"/>
    <col min="15969" max="15969" width="7.6640625" style="1" customWidth="1"/>
    <col min="15970" max="15970" width="10.6640625" style="1" customWidth="1"/>
    <col min="15971" max="15971" width="16.44140625" style="1" customWidth="1"/>
    <col min="15972" max="15972" width="18.6640625" style="1" customWidth="1"/>
    <col min="15973" max="15973" width="11.44140625" style="1" bestFit="1" customWidth="1"/>
    <col min="15974" max="15974" width="14.109375" style="1" bestFit="1" customWidth="1"/>
    <col min="15975" max="15975" width="11.44140625" style="1" bestFit="1" customWidth="1"/>
    <col min="15976" max="16219" width="11.44140625" style="1" customWidth="1"/>
    <col min="16220" max="16220" width="9.44140625" style="1" customWidth="1"/>
    <col min="16221" max="16384" width="51.44140625" style="1"/>
  </cols>
  <sheetData>
    <row r="7" spans="1:22" ht="14.25" customHeight="1" x14ac:dyDescent="0.25">
      <c r="A7" s="342"/>
      <c r="B7" s="342"/>
      <c r="C7" s="342"/>
      <c r="D7" s="342"/>
      <c r="E7" s="342"/>
      <c r="F7" s="342"/>
      <c r="G7" s="342"/>
    </row>
    <row r="8" spans="1:22" ht="14.25" customHeight="1" x14ac:dyDescent="0.25">
      <c r="A8" s="27"/>
      <c r="B8" s="27"/>
      <c r="C8" s="77"/>
      <c r="D8" s="27"/>
      <c r="E8" s="148"/>
      <c r="F8" s="77"/>
      <c r="G8" s="77"/>
    </row>
    <row r="9" spans="1:22" ht="14.25" customHeight="1" x14ac:dyDescent="0.25">
      <c r="A9" s="365"/>
      <c r="B9" s="365"/>
      <c r="C9" s="78"/>
      <c r="D9" s="70"/>
      <c r="E9" s="78"/>
      <c r="F9" s="228"/>
      <c r="G9" s="77"/>
    </row>
    <row r="10" spans="1:22" ht="39.75" customHeight="1" x14ac:dyDescent="0.25">
      <c r="A10" s="366" t="s">
        <v>421</v>
      </c>
      <c r="B10" s="366"/>
      <c r="C10" s="366"/>
      <c r="D10" s="366"/>
      <c r="E10" s="366"/>
      <c r="F10" s="366"/>
      <c r="G10" s="366"/>
      <c r="H10" s="202"/>
    </row>
    <row r="11" spans="1:22" ht="12" customHeight="1" x14ac:dyDescent="0.25">
      <c r="E11" s="149"/>
      <c r="F11" s="229"/>
      <c r="H11" s="4"/>
    </row>
    <row r="12" spans="1:22" ht="23.25" customHeight="1" x14ac:dyDescent="0.25">
      <c r="A12" s="71" t="s">
        <v>0</v>
      </c>
      <c r="B12" s="71" t="s">
        <v>1</v>
      </c>
      <c r="C12" s="71" t="s">
        <v>92</v>
      </c>
      <c r="D12" s="71" t="s">
        <v>2</v>
      </c>
      <c r="E12" s="72" t="s">
        <v>411</v>
      </c>
      <c r="F12" s="73" t="s">
        <v>413</v>
      </c>
      <c r="G12" s="72" t="s">
        <v>412</v>
      </c>
    </row>
    <row r="13" spans="1:22" ht="15" customHeight="1" x14ac:dyDescent="0.25">
      <c r="A13" s="7" t="s">
        <v>3</v>
      </c>
      <c r="B13" s="8" t="s">
        <v>18</v>
      </c>
      <c r="C13" s="8"/>
      <c r="D13" s="17"/>
      <c r="E13" s="236"/>
      <c r="G13" s="233">
        <f>+G14</f>
        <v>115000000</v>
      </c>
    </row>
    <row r="14" spans="1:22" ht="57" x14ac:dyDescent="0.25">
      <c r="A14" s="12" t="s">
        <v>182</v>
      </c>
      <c r="B14" s="14" t="s">
        <v>255</v>
      </c>
      <c r="C14" s="80" t="s">
        <v>93</v>
      </c>
      <c r="D14" s="15" t="s">
        <v>25</v>
      </c>
      <c r="E14" s="237">
        <v>1</v>
      </c>
      <c r="F14" s="20">
        <v>115000000</v>
      </c>
      <c r="G14" s="20">
        <f>+Tableau82425[[#This Row],[PRIX UNITAIRE (Ar)]]*Tableau82425[[#This Row],[QUANTITE]]</f>
        <v>115000000</v>
      </c>
      <c r="P14" s="263"/>
    </row>
    <row r="15" spans="1:22" s="2" customFormat="1" ht="20.25" customHeight="1" x14ac:dyDescent="0.25">
      <c r="A15" s="7" t="s">
        <v>4</v>
      </c>
      <c r="B15" s="8" t="s">
        <v>154</v>
      </c>
      <c r="C15" s="8"/>
      <c r="D15" s="16"/>
      <c r="E15" s="237"/>
      <c r="F15" s="20"/>
      <c r="G15" s="25">
        <f>+SUM(G17:G37)</f>
        <v>61399300</v>
      </c>
      <c r="I15" s="251"/>
      <c r="J15" s="251"/>
      <c r="K15" s="251"/>
      <c r="L15" s="251"/>
      <c r="M15" s="251"/>
      <c r="N15" s="251"/>
      <c r="O15" s="251"/>
      <c r="Q15" s="265"/>
      <c r="R15" s="265"/>
      <c r="S15" s="265"/>
      <c r="T15" s="265"/>
      <c r="U15" s="265"/>
      <c r="V15" s="265"/>
    </row>
    <row r="16" spans="1:22" s="2" customFormat="1" ht="20.25" customHeight="1" x14ac:dyDescent="0.25">
      <c r="A16" s="146" t="s">
        <v>164</v>
      </c>
      <c r="B16" s="103" t="s">
        <v>161</v>
      </c>
      <c r="C16" s="143"/>
      <c r="D16" s="144"/>
      <c r="E16" s="238"/>
      <c r="F16" s="22"/>
      <c r="G16" s="22"/>
      <c r="I16" s="251"/>
      <c r="J16" s="251"/>
      <c r="K16" s="251"/>
      <c r="L16" s="251"/>
      <c r="M16" s="251"/>
      <c r="N16" s="251"/>
      <c r="O16" s="251"/>
      <c r="Q16" s="265"/>
      <c r="R16" s="265"/>
      <c r="S16" s="265"/>
      <c r="T16" s="265"/>
      <c r="U16" s="265"/>
      <c r="V16" s="265"/>
    </row>
    <row r="17" spans="1:7" ht="45.6" x14ac:dyDescent="0.25">
      <c r="A17" s="12" t="s">
        <v>163</v>
      </c>
      <c r="B17" s="145" t="s">
        <v>487</v>
      </c>
      <c r="C17" s="80" t="s">
        <v>479</v>
      </c>
      <c r="D17" s="15" t="s">
        <v>25</v>
      </c>
      <c r="E17" s="238">
        <v>1</v>
      </c>
      <c r="F17" s="22">
        <v>3560000</v>
      </c>
      <c r="G17" s="22">
        <f>+Tableau82425[[#This Row],[QUANTITE]]*Tableau82425[[#This Row],[PRIX UNITAIRE (Ar)]]</f>
        <v>3560000</v>
      </c>
    </row>
    <row r="18" spans="1:7" ht="12" customHeight="1" x14ac:dyDescent="0.25">
      <c r="A18" s="146" t="s">
        <v>181</v>
      </c>
      <c r="B18" s="103" t="s">
        <v>160</v>
      </c>
      <c r="C18" s="143"/>
      <c r="D18" s="144"/>
      <c r="E18" s="238"/>
      <c r="F18" s="22"/>
      <c r="G18" s="22"/>
    </row>
    <row r="19" spans="1:7" ht="45.6" x14ac:dyDescent="0.25">
      <c r="A19" s="12" t="s">
        <v>183</v>
      </c>
      <c r="B19" s="145" t="s">
        <v>485</v>
      </c>
      <c r="C19" s="80" t="s">
        <v>480</v>
      </c>
      <c r="D19" s="15" t="s">
        <v>25</v>
      </c>
      <c r="E19" s="238">
        <v>1</v>
      </c>
      <c r="F19" s="22">
        <v>2987600</v>
      </c>
      <c r="G19" s="22">
        <f>+Tableau82425[[#This Row],[QUANTITE]]*Tableau82425[[#This Row],[PRIX UNITAIRE (Ar)]]</f>
        <v>2987600</v>
      </c>
    </row>
    <row r="20" spans="1:7" ht="12" customHeight="1" x14ac:dyDescent="0.25">
      <c r="A20" s="146" t="s">
        <v>165</v>
      </c>
      <c r="B20" s="153" t="s">
        <v>159</v>
      </c>
      <c r="C20" s="103"/>
      <c r="D20" s="17"/>
      <c r="E20" s="238"/>
      <c r="F20" s="22"/>
      <c r="G20" s="22"/>
    </row>
    <row r="21" spans="1:7" ht="45.6" x14ac:dyDescent="0.25">
      <c r="A21" s="12" t="s">
        <v>166</v>
      </c>
      <c r="B21" s="145" t="s">
        <v>486</v>
      </c>
      <c r="C21" s="80" t="s">
        <v>481</v>
      </c>
      <c r="D21" s="15" t="s">
        <v>25</v>
      </c>
      <c r="E21" s="238">
        <v>1</v>
      </c>
      <c r="F21" s="22">
        <v>3150000</v>
      </c>
      <c r="G21" s="22">
        <f>+Tableau82425[[#This Row],[QUANTITE]]*Tableau82425[[#This Row],[PRIX UNITAIRE (Ar)]]</f>
        <v>3150000</v>
      </c>
    </row>
    <row r="22" spans="1:7" ht="12" customHeight="1" x14ac:dyDescent="0.25">
      <c r="A22" s="146" t="s">
        <v>167</v>
      </c>
      <c r="B22" s="152" t="s">
        <v>155</v>
      </c>
      <c r="C22" s="80"/>
      <c r="D22" s="17"/>
      <c r="E22" s="238"/>
      <c r="F22" s="22"/>
      <c r="G22" s="22"/>
    </row>
    <row r="23" spans="1:7" ht="79.8" x14ac:dyDescent="0.25">
      <c r="A23" s="12" t="s">
        <v>168</v>
      </c>
      <c r="B23" s="145" t="s">
        <v>477</v>
      </c>
      <c r="C23" s="80" t="s">
        <v>478</v>
      </c>
      <c r="D23" s="15" t="s">
        <v>25</v>
      </c>
      <c r="E23" s="238">
        <v>1</v>
      </c>
      <c r="F23" s="22">
        <v>3645000</v>
      </c>
      <c r="G23" s="22">
        <f>+Tableau82425[[#This Row],[QUANTITE]]*Tableau82425[[#This Row],[PRIX UNITAIRE (Ar)]]</f>
        <v>3645000</v>
      </c>
    </row>
    <row r="24" spans="1:7" ht="12" customHeight="1" x14ac:dyDescent="0.25">
      <c r="A24" s="146" t="s">
        <v>169</v>
      </c>
      <c r="B24" s="153" t="s">
        <v>158</v>
      </c>
      <c r="C24" s="103"/>
      <c r="D24" s="17"/>
      <c r="E24" s="238"/>
      <c r="F24" s="22"/>
      <c r="G24" s="22"/>
    </row>
    <row r="25" spans="1:7" ht="22.8" x14ac:dyDescent="0.25">
      <c r="A25" s="12" t="s">
        <v>170</v>
      </c>
      <c r="B25" s="145" t="s">
        <v>484</v>
      </c>
      <c r="C25" s="103" t="s">
        <v>475</v>
      </c>
      <c r="D25" s="15" t="s">
        <v>25</v>
      </c>
      <c r="E25" s="238">
        <v>1</v>
      </c>
      <c r="F25" s="22">
        <f>1500*5500</f>
        <v>8250000</v>
      </c>
      <c r="G25" s="22">
        <f>+Tableau82425[[#This Row],[QUANTITE]]*Tableau82425[[#This Row],[PRIX UNITAIRE (Ar)]]</f>
        <v>8250000</v>
      </c>
    </row>
    <row r="26" spans="1:7" ht="59.25" customHeight="1" x14ac:dyDescent="0.25">
      <c r="A26" s="12" t="s">
        <v>254</v>
      </c>
      <c r="B26" s="145" t="s">
        <v>483</v>
      </c>
      <c r="C26" s="103" t="s">
        <v>476</v>
      </c>
      <c r="D26" s="15" t="s">
        <v>25</v>
      </c>
      <c r="E26" s="238">
        <v>1</v>
      </c>
      <c r="F26" s="22">
        <f>1500*2500</f>
        <v>3750000</v>
      </c>
      <c r="G26" s="22">
        <f>+Tableau82425[[#This Row],[QUANTITE]]*Tableau82425[[#This Row],[PRIX UNITAIRE (Ar)]]</f>
        <v>3750000</v>
      </c>
    </row>
    <row r="27" spans="1:7" ht="12" customHeight="1" x14ac:dyDescent="0.25">
      <c r="A27" s="146" t="s">
        <v>171</v>
      </c>
      <c r="B27" s="153" t="s">
        <v>156</v>
      </c>
      <c r="C27" s="103"/>
      <c r="D27" s="15"/>
      <c r="E27" s="238"/>
      <c r="F27" s="22"/>
      <c r="G27" s="22"/>
    </row>
    <row r="28" spans="1:7" ht="45.6" x14ac:dyDescent="0.25">
      <c r="A28" s="12" t="s">
        <v>172</v>
      </c>
      <c r="B28" s="145" t="s">
        <v>482</v>
      </c>
      <c r="C28" s="103" t="s">
        <v>474</v>
      </c>
      <c r="D28" s="15" t="s">
        <v>25</v>
      </c>
      <c r="E28" s="238">
        <v>1</v>
      </c>
      <c r="F28" s="22">
        <v>14600000</v>
      </c>
      <c r="G28" s="22">
        <f>+Tableau82425[[#This Row],[QUANTITE]]*Tableau82425[[#This Row],[PRIX UNITAIRE (Ar)]]</f>
        <v>14600000</v>
      </c>
    </row>
    <row r="29" spans="1:7" ht="12" customHeight="1" x14ac:dyDescent="0.25">
      <c r="A29" s="146" t="s">
        <v>173</v>
      </c>
      <c r="B29" s="153" t="s">
        <v>157</v>
      </c>
      <c r="C29" s="103"/>
      <c r="D29" s="15"/>
      <c r="E29" s="238"/>
      <c r="F29" s="22"/>
      <c r="G29" s="22"/>
    </row>
    <row r="30" spans="1:7" ht="34.200000000000003" x14ac:dyDescent="0.25">
      <c r="A30" s="12" t="s">
        <v>174</v>
      </c>
      <c r="B30" s="145" t="s">
        <v>473</v>
      </c>
      <c r="C30" s="80" t="s">
        <v>472</v>
      </c>
      <c r="D30" s="15" t="s">
        <v>25</v>
      </c>
      <c r="E30" s="238">
        <v>1</v>
      </c>
      <c r="F30" s="22">
        <v>5863200</v>
      </c>
      <c r="G30" s="22">
        <f>+Tableau82425[[#This Row],[QUANTITE]]*Tableau82425[[#This Row],[PRIX UNITAIRE (Ar)]]</f>
        <v>5863200</v>
      </c>
    </row>
    <row r="31" spans="1:7" ht="12" customHeight="1" x14ac:dyDescent="0.25">
      <c r="A31" s="146" t="s">
        <v>175</v>
      </c>
      <c r="B31" s="153" t="s">
        <v>162</v>
      </c>
      <c r="C31" s="103"/>
      <c r="D31" s="15"/>
      <c r="E31" s="238"/>
      <c r="F31" s="22"/>
      <c r="G31" s="22"/>
    </row>
    <row r="32" spans="1:7" ht="57" x14ac:dyDescent="0.25">
      <c r="A32" s="12" t="s">
        <v>176</v>
      </c>
      <c r="B32" s="145" t="s">
        <v>468</v>
      </c>
      <c r="C32" s="80" t="s">
        <v>469</v>
      </c>
      <c r="D32" s="15" t="s">
        <v>25</v>
      </c>
      <c r="E32" s="238">
        <v>1</v>
      </c>
      <c r="F32" s="22">
        <v>3870000</v>
      </c>
      <c r="G32" s="22">
        <f>+Tableau82425[[#This Row],[QUANTITE]]*Tableau82425[[#This Row],[PRIX UNITAIRE (Ar)]]</f>
        <v>3870000</v>
      </c>
    </row>
    <row r="33" spans="1:22" ht="45.6" x14ac:dyDescent="0.25">
      <c r="A33" s="12" t="s">
        <v>177</v>
      </c>
      <c r="B33" s="145" t="s">
        <v>470</v>
      </c>
      <c r="C33" s="80" t="s">
        <v>471</v>
      </c>
      <c r="D33" s="15" t="s">
        <v>25</v>
      </c>
      <c r="E33" s="238">
        <v>1</v>
      </c>
      <c r="F33" s="22">
        <v>3164000</v>
      </c>
      <c r="G33" s="22">
        <f>+Tableau82425[[#This Row],[QUANTITE]]*Tableau82425[[#This Row],[PRIX UNITAIRE (Ar)]]</f>
        <v>3164000</v>
      </c>
    </row>
    <row r="34" spans="1:22" ht="12" customHeight="1" x14ac:dyDescent="0.25">
      <c r="A34" s="146" t="s">
        <v>178</v>
      </c>
      <c r="B34" s="155" t="s">
        <v>39</v>
      </c>
      <c r="C34" s="80"/>
      <c r="D34" s="15"/>
      <c r="E34" s="238"/>
      <c r="F34" s="22"/>
      <c r="G34" s="22"/>
    </row>
    <row r="35" spans="1:22" s="105" customFormat="1" ht="79.8" x14ac:dyDescent="0.25">
      <c r="A35" s="13" t="s">
        <v>179</v>
      </c>
      <c r="B35" s="173" t="s">
        <v>467</v>
      </c>
      <c r="C35" s="174" t="s">
        <v>396</v>
      </c>
      <c r="D35" s="15" t="s">
        <v>25</v>
      </c>
      <c r="E35" s="237">
        <v>1</v>
      </c>
      <c r="F35" s="216">
        <v>4680000</v>
      </c>
      <c r="G35" s="22">
        <f>+Tableau82425[[#This Row],[QUANTITE]]*Tableau82425[[#This Row],[PRIX UNITAIRE (Ar)]]</f>
        <v>4680000</v>
      </c>
      <c r="I35" s="252"/>
      <c r="J35" s="252"/>
      <c r="K35" s="252"/>
      <c r="L35" s="252"/>
      <c r="M35" s="252"/>
      <c r="N35" s="252"/>
      <c r="O35" s="252"/>
      <c r="Q35" s="270"/>
      <c r="R35" s="270"/>
      <c r="S35" s="270"/>
      <c r="T35" s="270"/>
      <c r="U35" s="270"/>
      <c r="V35" s="270"/>
    </row>
    <row r="36" spans="1:22" ht="12" customHeight="1" x14ac:dyDescent="0.25">
      <c r="A36" s="146" t="s">
        <v>237</v>
      </c>
      <c r="B36" s="155" t="s">
        <v>74</v>
      </c>
      <c r="C36" s="103"/>
      <c r="D36" s="17"/>
      <c r="E36" s="238"/>
      <c r="F36" s="22"/>
      <c r="G36" s="22"/>
    </row>
    <row r="37" spans="1:22" ht="57" x14ac:dyDescent="0.25">
      <c r="A37" s="12" t="s">
        <v>238</v>
      </c>
      <c r="B37" s="145" t="s">
        <v>465</v>
      </c>
      <c r="C37" s="80" t="s">
        <v>466</v>
      </c>
      <c r="D37" s="15" t="s">
        <v>25</v>
      </c>
      <c r="E37" s="238">
        <v>1</v>
      </c>
      <c r="F37" s="22">
        <v>3879500</v>
      </c>
      <c r="G37" s="22">
        <f>+Tableau82425[[#This Row],[QUANTITE]]*Tableau82425[[#This Row],[PRIX UNITAIRE (Ar)]]</f>
        <v>3879500</v>
      </c>
    </row>
    <row r="38" spans="1:22" s="2" customFormat="1" ht="20.25" customHeight="1" x14ac:dyDescent="0.25">
      <c r="A38" s="7" t="s">
        <v>16</v>
      </c>
      <c r="B38" s="8" t="s">
        <v>73</v>
      </c>
      <c r="C38" s="80"/>
      <c r="D38" s="16"/>
      <c r="E38" s="237"/>
      <c r="F38" s="20"/>
      <c r="G38" s="25">
        <f>+SUM(G39:G41)</f>
        <v>8352694.5847999975</v>
      </c>
      <c r="I38" s="251"/>
      <c r="J38" s="251"/>
      <c r="K38" s="251"/>
      <c r="L38" s="251"/>
      <c r="M38" s="251"/>
      <c r="N38" s="251"/>
      <c r="O38" s="251"/>
      <c r="Q38" s="265"/>
      <c r="R38" s="265"/>
      <c r="S38" s="265"/>
      <c r="T38" s="265"/>
      <c r="U38" s="265"/>
      <c r="V38" s="265"/>
    </row>
    <row r="39" spans="1:22" s="2" customFormat="1" ht="22.8" x14ac:dyDescent="0.25">
      <c r="A39" s="12" t="s">
        <v>14</v>
      </c>
      <c r="B39" s="9" t="s">
        <v>452</v>
      </c>
      <c r="C39" s="80" t="s">
        <v>416</v>
      </c>
      <c r="D39" s="16" t="s">
        <v>11</v>
      </c>
      <c r="E39" s="237">
        <f>+METRE!M32</f>
        <v>121.39374999999995</v>
      </c>
      <c r="F39" s="20">
        <v>14200</v>
      </c>
      <c r="G39" s="20">
        <f>+Tableau82425[[#This Row],[PRIX UNITAIRE (Ar)]]*Tableau82425[[#This Row],[QUANTITE]]</f>
        <v>1723791.2499999993</v>
      </c>
      <c r="I39" s="251"/>
      <c r="J39" s="251"/>
      <c r="K39" s="251"/>
      <c r="L39" s="251"/>
      <c r="M39" s="251"/>
      <c r="N39" s="251"/>
      <c r="O39" s="251"/>
      <c r="Q39" s="265"/>
      <c r="R39" s="265"/>
      <c r="S39" s="265"/>
      <c r="T39" s="265"/>
      <c r="U39" s="265"/>
      <c r="V39" s="265"/>
    </row>
    <row r="40" spans="1:22" s="2" customFormat="1" ht="22.8" x14ac:dyDescent="0.25">
      <c r="A40" s="12" t="s">
        <v>84</v>
      </c>
      <c r="B40" s="9" t="s">
        <v>489</v>
      </c>
      <c r="C40" s="80" t="s">
        <v>417</v>
      </c>
      <c r="D40" s="16" t="s">
        <v>11</v>
      </c>
      <c r="E40" s="237">
        <f>+METRE!M70</f>
        <v>75.785339999999962</v>
      </c>
      <c r="F40" s="20">
        <v>20500</v>
      </c>
      <c r="G40" s="20">
        <f>+Tableau82425[[#This Row],[PRIX UNITAIRE (Ar)]]*Tableau82425[[#This Row],[QUANTITE]]</f>
        <v>1553599.4699999993</v>
      </c>
      <c r="I40" s="251"/>
      <c r="J40" s="251"/>
      <c r="K40" s="251"/>
      <c r="L40" s="251"/>
      <c r="M40" s="251"/>
      <c r="N40" s="251"/>
      <c r="O40" s="251"/>
      <c r="Q40" s="265"/>
      <c r="R40" s="265"/>
      <c r="S40" s="265"/>
      <c r="T40" s="265"/>
      <c r="U40" s="265"/>
      <c r="V40" s="265"/>
    </row>
    <row r="41" spans="1:22" s="2" customFormat="1" ht="22.8" x14ac:dyDescent="0.25">
      <c r="A41" s="12" t="s">
        <v>85</v>
      </c>
      <c r="B41" s="74" t="s">
        <v>418</v>
      </c>
      <c r="C41" s="80" t="s">
        <v>490</v>
      </c>
      <c r="D41" s="16" t="s">
        <v>11</v>
      </c>
      <c r="E41" s="238">
        <f>+METRE!M75</f>
        <v>59.290932999999988</v>
      </c>
      <c r="F41" s="22">
        <v>85600</v>
      </c>
      <c r="G41" s="20">
        <f>+Tableau82425[[#This Row],[PRIX UNITAIRE (Ar)]]*Tableau82425[[#This Row],[QUANTITE]]</f>
        <v>5075303.8647999987</v>
      </c>
      <c r="I41" s="251"/>
      <c r="J41" s="251"/>
      <c r="K41" s="251"/>
      <c r="L41" s="251"/>
      <c r="M41" s="251"/>
      <c r="N41" s="251"/>
      <c r="O41" s="251"/>
      <c r="Q41" s="265"/>
      <c r="R41" s="265"/>
      <c r="S41" s="265"/>
      <c r="T41" s="265"/>
      <c r="U41" s="265"/>
      <c r="V41" s="265"/>
    </row>
    <row r="42" spans="1:22" s="2" customFormat="1" ht="20.25" customHeight="1" x14ac:dyDescent="0.25">
      <c r="A42" s="7" t="s">
        <v>13</v>
      </c>
      <c r="B42" s="8" t="s">
        <v>1026</v>
      </c>
      <c r="C42" s="80"/>
      <c r="D42" s="16"/>
      <c r="E42" s="237"/>
      <c r="F42" s="20"/>
      <c r="G42" s="25">
        <f>+SUM(G43:G54)</f>
        <v>122955081.01249999</v>
      </c>
      <c r="I42" s="251"/>
      <c r="J42" s="251"/>
      <c r="K42" s="251"/>
      <c r="L42" s="251"/>
      <c r="M42" s="251"/>
      <c r="N42" s="251"/>
      <c r="O42" s="264">
        <f>+Tableau82425[[#This Row],[MONTANT (Ar)]]/130</f>
        <v>945808.31548076915</v>
      </c>
      <c r="P42" s="264" t="e">
        <f>+Tableau82425[[#This Row],[MONTANT (Ar)]]/RATIO!#REF!</f>
        <v>#REF!</v>
      </c>
      <c r="Q42" s="264"/>
      <c r="R42" s="264"/>
      <c r="S42" s="265"/>
      <c r="T42" s="265"/>
      <c r="U42" s="265"/>
      <c r="V42" s="265"/>
    </row>
    <row r="43" spans="1:22" s="2" customFormat="1" ht="34.200000000000003" x14ac:dyDescent="0.25">
      <c r="A43" s="12" t="s">
        <v>12</v>
      </c>
      <c r="B43" s="10" t="s">
        <v>453</v>
      </c>
      <c r="C43" s="80" t="s">
        <v>186</v>
      </c>
      <c r="D43" s="16" t="s">
        <v>11</v>
      </c>
      <c r="E43" s="239">
        <f>+METRE!M80</f>
        <v>7.3461249999999989</v>
      </c>
      <c r="F43" s="22">
        <v>410000</v>
      </c>
      <c r="G43" s="22">
        <f>+Tableau82425[[#This Row],[PRIX UNITAIRE (Ar)]]*Tableau82425[[#This Row],[QUANTITE]]</f>
        <v>3011911.2499999995</v>
      </c>
      <c r="I43" s="251"/>
      <c r="J43" s="251"/>
      <c r="K43" s="251"/>
      <c r="L43" s="251"/>
      <c r="M43" s="251"/>
      <c r="N43" s="251"/>
      <c r="O43" s="264"/>
      <c r="P43" s="264"/>
      <c r="Q43" s="264"/>
      <c r="R43" s="264"/>
      <c r="S43" s="265"/>
      <c r="T43" s="265"/>
      <c r="U43" s="265"/>
      <c r="V43" s="265"/>
    </row>
    <row r="44" spans="1:22" s="3" customFormat="1" ht="34.200000000000003" x14ac:dyDescent="0.25">
      <c r="A44" s="12" t="s">
        <v>30</v>
      </c>
      <c r="B44" s="10" t="s">
        <v>256</v>
      </c>
      <c r="C44" s="80" t="s">
        <v>124</v>
      </c>
      <c r="D44" s="15" t="s">
        <v>11</v>
      </c>
      <c r="E44" s="237">
        <f>+METRE!M118</f>
        <v>9.4649999999999999</v>
      </c>
      <c r="F44" s="20">
        <v>210000</v>
      </c>
      <c r="G44" s="22">
        <f>+Tableau82425[[#This Row],[PRIX UNITAIRE (Ar)]]*Tableau82425[[#This Row],[QUANTITE]]</f>
        <v>1987650</v>
      </c>
      <c r="I44" s="253"/>
      <c r="J44" s="253"/>
      <c r="K44" s="253"/>
      <c r="L44" s="253"/>
      <c r="M44" s="253"/>
      <c r="N44" s="253"/>
      <c r="O44" s="266"/>
      <c r="P44" s="266"/>
      <c r="Q44" s="266"/>
      <c r="R44" s="266"/>
      <c r="S44" s="268"/>
      <c r="T44" s="268"/>
      <c r="U44" s="268"/>
      <c r="V44" s="268"/>
    </row>
    <row r="45" spans="1:22" s="3" customFormat="1" ht="22.8" x14ac:dyDescent="0.25">
      <c r="A45" s="12" t="s">
        <v>10</v>
      </c>
      <c r="B45" s="147" t="s">
        <v>491</v>
      </c>
      <c r="C45" s="8" t="s">
        <v>239</v>
      </c>
      <c r="D45" s="15" t="s">
        <v>11</v>
      </c>
      <c r="E45" s="238">
        <f>+METRE!M125</f>
        <v>3.1550000000000002</v>
      </c>
      <c r="F45" s="22">
        <v>85000</v>
      </c>
      <c r="G45" s="22">
        <f>+Tableau82425[[#This Row],[PRIX UNITAIRE (Ar)]]*Tableau82425[[#This Row],[QUANTITE]]</f>
        <v>268175</v>
      </c>
      <c r="I45" s="253"/>
      <c r="J45" s="253"/>
      <c r="K45" s="253"/>
      <c r="L45" s="253"/>
      <c r="M45" s="253"/>
      <c r="N45" s="253"/>
      <c r="O45" s="266"/>
      <c r="P45" s="266"/>
      <c r="Q45" s="266"/>
      <c r="R45" s="266"/>
      <c r="S45" s="268"/>
      <c r="T45" s="268"/>
      <c r="U45" s="268"/>
      <c r="V45" s="268"/>
    </row>
    <row r="46" spans="1:22" s="2" customFormat="1" ht="34.200000000000003" x14ac:dyDescent="0.25">
      <c r="A46" s="12" t="s">
        <v>184</v>
      </c>
      <c r="B46" s="10" t="s">
        <v>424</v>
      </c>
      <c r="C46" s="80" t="s">
        <v>111</v>
      </c>
      <c r="D46" s="15" t="s">
        <v>7</v>
      </c>
      <c r="E46" s="237">
        <f>+METRE!M132</f>
        <v>58.25</v>
      </c>
      <c r="F46" s="20">
        <v>6500</v>
      </c>
      <c r="G46" s="22">
        <f>+Tableau82425[[#This Row],[PRIX UNITAIRE (Ar)]]*Tableau82425[[#This Row],[QUANTITE]]</f>
        <v>378625</v>
      </c>
      <c r="I46" s="251"/>
      <c r="J46" s="251"/>
      <c r="K46" s="251"/>
      <c r="L46" s="251"/>
      <c r="M46" s="251"/>
      <c r="N46" s="251"/>
      <c r="O46" s="264"/>
      <c r="P46" s="264"/>
      <c r="Q46" s="264"/>
      <c r="R46" s="264"/>
      <c r="S46" s="265"/>
      <c r="T46" s="265"/>
      <c r="U46" s="265"/>
      <c r="V46" s="265"/>
    </row>
    <row r="47" spans="1:22" s="3" customFormat="1" ht="22.8" x14ac:dyDescent="0.25">
      <c r="A47" s="12" t="s">
        <v>185</v>
      </c>
      <c r="B47" s="10" t="s">
        <v>152</v>
      </c>
      <c r="C47" s="174" t="s">
        <v>153</v>
      </c>
      <c r="D47" s="15" t="s">
        <v>75</v>
      </c>
      <c r="E47" s="237">
        <v>1</v>
      </c>
      <c r="F47" s="20">
        <v>3250000</v>
      </c>
      <c r="G47" s="22">
        <f>+Tableau82425[[#This Row],[PRIX UNITAIRE (Ar)]]*Tableau82425[[#This Row],[QUANTITE]]</f>
        <v>3250000</v>
      </c>
      <c r="I47" s="253"/>
      <c r="J47" s="253"/>
      <c r="K47" s="253"/>
      <c r="L47" s="253"/>
      <c r="M47" s="253"/>
      <c r="N47" s="253"/>
      <c r="O47" s="266"/>
      <c r="P47" s="266"/>
      <c r="Q47" s="266"/>
      <c r="R47" s="266"/>
      <c r="S47" s="268"/>
      <c r="T47" s="268"/>
      <c r="U47" s="268"/>
      <c r="V47" s="268"/>
    </row>
    <row r="48" spans="1:22" s="3" customFormat="1" ht="34.200000000000003" x14ac:dyDescent="0.25">
      <c r="A48" s="12" t="s">
        <v>22</v>
      </c>
      <c r="B48" s="10" t="s">
        <v>375</v>
      </c>
      <c r="C48" s="174" t="s">
        <v>397</v>
      </c>
      <c r="D48" s="15" t="s">
        <v>7</v>
      </c>
      <c r="E48" s="237">
        <f>+METRE!M138</f>
        <v>313.27599999999995</v>
      </c>
      <c r="F48" s="20">
        <v>28500</v>
      </c>
      <c r="G48" s="22">
        <f>+Tableau82425[[#This Row],[PRIX UNITAIRE (Ar)]]*Tableau82425[[#This Row],[QUANTITE]]</f>
        <v>8928365.9999999981</v>
      </c>
      <c r="I48" s="253"/>
      <c r="J48" s="253"/>
      <c r="K48" s="253"/>
      <c r="L48" s="253"/>
      <c r="M48" s="253"/>
      <c r="N48" s="253"/>
      <c r="O48" s="253"/>
      <c r="Q48" s="268"/>
      <c r="R48" s="268"/>
      <c r="S48" s="268"/>
      <c r="T48" s="268"/>
      <c r="U48" s="268"/>
      <c r="V48" s="268"/>
    </row>
    <row r="49" spans="1:22" s="3" customFormat="1" ht="22.8" x14ac:dyDescent="0.25">
      <c r="A49" s="12" t="s">
        <v>23</v>
      </c>
      <c r="B49" s="10" t="s">
        <v>398</v>
      </c>
      <c r="C49" s="80" t="s">
        <v>399</v>
      </c>
      <c r="D49" s="15" t="s">
        <v>7</v>
      </c>
      <c r="E49" s="237">
        <f>+METRE!M213</f>
        <v>62.84</v>
      </c>
      <c r="F49" s="20">
        <v>28500</v>
      </c>
      <c r="G49" s="22">
        <f>+Tableau82425[[#This Row],[PRIX UNITAIRE (Ar)]]*Tableau82425[[#This Row],[QUANTITE]]</f>
        <v>1790940</v>
      </c>
      <c r="I49" s="253"/>
      <c r="J49" s="253"/>
      <c r="K49" s="253"/>
      <c r="L49" s="253"/>
      <c r="M49" s="253"/>
      <c r="N49" s="253"/>
      <c r="O49" s="253"/>
      <c r="Q49" s="268"/>
      <c r="R49" s="268"/>
      <c r="S49" s="268"/>
      <c r="T49" s="268"/>
      <c r="U49" s="268"/>
      <c r="V49" s="268"/>
    </row>
    <row r="50" spans="1:22" s="2" customFormat="1" ht="34.200000000000003" x14ac:dyDescent="0.25">
      <c r="A50" s="12" t="s">
        <v>24</v>
      </c>
      <c r="B50" s="10" t="s">
        <v>425</v>
      </c>
      <c r="C50" s="80" t="s">
        <v>180</v>
      </c>
      <c r="D50" s="15" t="s">
        <v>11</v>
      </c>
      <c r="E50" s="237">
        <f>+METRE!M233</f>
        <v>7.5720000000000001</v>
      </c>
      <c r="F50" s="20">
        <v>695000</v>
      </c>
      <c r="G50" s="22">
        <f>+Tableau82425[[#This Row],[PRIX UNITAIRE (Ar)]]*Tableau82425[[#This Row],[QUANTITE]]</f>
        <v>5262540</v>
      </c>
      <c r="I50" s="251"/>
      <c r="J50" s="251"/>
      <c r="K50" s="251"/>
      <c r="L50" s="251"/>
      <c r="M50" s="251"/>
      <c r="N50" s="251"/>
      <c r="O50" s="251"/>
      <c r="Q50" s="265"/>
      <c r="R50" s="265"/>
      <c r="S50" s="265"/>
      <c r="T50" s="265"/>
      <c r="U50" s="265"/>
      <c r="V50" s="265"/>
    </row>
    <row r="51" spans="1:22" s="2" customFormat="1" ht="45.6" x14ac:dyDescent="0.25">
      <c r="A51" s="12" t="s">
        <v>137</v>
      </c>
      <c r="B51" s="10" t="s">
        <v>422</v>
      </c>
      <c r="C51" s="80" t="s">
        <v>122</v>
      </c>
      <c r="D51" s="15" t="s">
        <v>11</v>
      </c>
      <c r="E51" s="237">
        <f>+METRE!M240</f>
        <v>50.893174999999985</v>
      </c>
      <c r="F51" s="20">
        <v>720000</v>
      </c>
      <c r="G51" s="22">
        <f>+Tableau82425[[#This Row],[PRIX UNITAIRE (Ar)]]*Tableau82425[[#This Row],[QUANTITE]]</f>
        <v>36643085.999999993</v>
      </c>
      <c r="I51" s="251"/>
      <c r="J51" s="251"/>
      <c r="K51" s="251"/>
      <c r="L51" s="251"/>
      <c r="M51" s="251"/>
      <c r="N51" s="251"/>
      <c r="O51" s="251"/>
      <c r="Q51" s="265"/>
      <c r="R51" s="265"/>
      <c r="S51" s="265"/>
      <c r="T51" s="265"/>
      <c r="U51" s="265"/>
      <c r="V51" s="265"/>
    </row>
    <row r="52" spans="1:22" s="2" customFormat="1" ht="34.200000000000003" x14ac:dyDescent="0.25">
      <c r="A52" s="12" t="s">
        <v>240</v>
      </c>
      <c r="B52" s="10" t="s">
        <v>94</v>
      </c>
      <c r="C52" s="80" t="s">
        <v>122</v>
      </c>
      <c r="D52" s="15" t="s">
        <v>19</v>
      </c>
      <c r="E52" s="237">
        <f>+E51*75</f>
        <v>3816.9881249999989</v>
      </c>
      <c r="F52" s="20">
        <v>8800</v>
      </c>
      <c r="G52" s="22">
        <f>+Tableau82425[[#This Row],[PRIX UNITAIRE (Ar)]]*Tableau82425[[#This Row],[QUANTITE]]</f>
        <v>33589495.499999993</v>
      </c>
      <c r="I52" s="251"/>
      <c r="J52" s="251"/>
      <c r="K52" s="251"/>
      <c r="L52" s="251"/>
      <c r="M52" s="251"/>
      <c r="N52" s="251"/>
      <c r="O52" s="251"/>
      <c r="Q52" s="265"/>
      <c r="R52" s="265"/>
      <c r="S52" s="265"/>
      <c r="T52" s="265"/>
      <c r="U52" s="265"/>
      <c r="V52" s="265"/>
    </row>
    <row r="53" spans="1:22" s="2" customFormat="1" ht="34.200000000000003" x14ac:dyDescent="0.25">
      <c r="A53" s="12" t="s">
        <v>365</v>
      </c>
      <c r="B53" s="10" t="s">
        <v>102</v>
      </c>
      <c r="C53" s="80" t="s">
        <v>122</v>
      </c>
      <c r="D53" s="15" t="s">
        <v>7</v>
      </c>
      <c r="E53" s="237">
        <f>+E51*9</f>
        <v>458.03857499999987</v>
      </c>
      <c r="F53" s="20">
        <v>33500</v>
      </c>
      <c r="G53" s="22">
        <f>+Tableau82425[[#This Row],[PRIX UNITAIRE (Ar)]]*Tableau82425[[#This Row],[QUANTITE]]</f>
        <v>15344292.262499996</v>
      </c>
      <c r="I53" s="251"/>
      <c r="J53" s="251"/>
      <c r="K53" s="251"/>
      <c r="L53" s="251"/>
      <c r="M53" s="251"/>
      <c r="N53" s="251"/>
      <c r="O53" s="251"/>
      <c r="Q53" s="265"/>
      <c r="R53" s="265"/>
      <c r="S53" s="265"/>
      <c r="T53" s="265"/>
      <c r="U53" s="265"/>
      <c r="V53" s="265"/>
    </row>
    <row r="54" spans="1:22" s="2" customFormat="1" ht="171" x14ac:dyDescent="0.25">
      <c r="A54" s="12" t="s">
        <v>488</v>
      </c>
      <c r="B54" s="213" t="s">
        <v>463</v>
      </c>
      <c r="C54" s="80" t="s">
        <v>462</v>
      </c>
      <c r="D54" s="15" t="s">
        <v>75</v>
      </c>
      <c r="E54" s="238">
        <v>1</v>
      </c>
      <c r="F54" s="22">
        <v>12500000</v>
      </c>
      <c r="G54" s="22">
        <f>+Tableau82425[[#This Row],[PRIX UNITAIRE (Ar)]]*Tableau82425[[#This Row],[QUANTITE]]</f>
        <v>12500000</v>
      </c>
      <c r="I54" s="251"/>
      <c r="J54" s="251"/>
      <c r="K54" s="251"/>
      <c r="L54" s="251"/>
      <c r="M54" s="251"/>
      <c r="N54" s="251"/>
      <c r="O54" s="251"/>
      <c r="Q54" s="265"/>
      <c r="R54" s="265"/>
      <c r="S54" s="265"/>
      <c r="T54" s="265"/>
      <c r="U54" s="265"/>
      <c r="V54" s="265"/>
    </row>
    <row r="55" spans="1:22" s="2" customFormat="1" ht="13.8" x14ac:dyDescent="0.25">
      <c r="A55" s="7" t="s">
        <v>35</v>
      </c>
      <c r="B55" s="8" t="s">
        <v>20</v>
      </c>
      <c r="C55" s="80"/>
      <c r="D55" s="16"/>
      <c r="E55" s="237"/>
      <c r="F55" s="20"/>
      <c r="G55" s="25">
        <f>+SUM(G56:G66)</f>
        <v>592130553.25500011</v>
      </c>
      <c r="I55" s="251"/>
      <c r="J55" s="251"/>
      <c r="K55" s="251"/>
      <c r="L55" s="251"/>
      <c r="M55" s="251"/>
      <c r="N55" s="251"/>
      <c r="O55" s="251"/>
      <c r="Q55" s="265"/>
      <c r="R55" s="265"/>
      <c r="S55" s="265"/>
      <c r="T55" s="265"/>
      <c r="U55" s="265"/>
      <c r="V55" s="265"/>
    </row>
    <row r="56" spans="1:22" s="2" customFormat="1" ht="91.2" x14ac:dyDescent="0.25">
      <c r="A56" s="12" t="s">
        <v>36</v>
      </c>
      <c r="B56" s="10" t="s">
        <v>123</v>
      </c>
      <c r="C56" s="80" t="s">
        <v>426</v>
      </c>
      <c r="D56" s="15" t="s">
        <v>11</v>
      </c>
      <c r="E56" s="237">
        <f>+METRE!M297</f>
        <v>217.22867249999999</v>
      </c>
      <c r="F56" s="20">
        <f>+F51</f>
        <v>720000</v>
      </c>
      <c r="G56" s="20">
        <f>+Tableau82425[[#This Row],[PRIX UNITAIRE (Ar)]]*Tableau82425[[#This Row],[QUANTITE]]</f>
        <v>156404644.19999999</v>
      </c>
      <c r="I56" s="251"/>
      <c r="J56" s="251"/>
      <c r="K56" s="251"/>
      <c r="L56" s="251"/>
      <c r="M56" s="251"/>
      <c r="N56" s="251"/>
      <c r="O56" s="251"/>
      <c r="Q56" s="265"/>
      <c r="R56" s="265"/>
      <c r="S56" s="265"/>
      <c r="T56" s="265"/>
      <c r="U56" s="265"/>
      <c r="V56" s="265"/>
    </row>
    <row r="57" spans="1:22" s="2" customFormat="1" ht="91.2" x14ac:dyDescent="0.25">
      <c r="A57" s="12" t="s">
        <v>37</v>
      </c>
      <c r="B57" s="10" t="s">
        <v>94</v>
      </c>
      <c r="C57" s="80" t="s">
        <v>426</v>
      </c>
      <c r="D57" s="15" t="s">
        <v>21</v>
      </c>
      <c r="E57" s="237">
        <f>+E56*85</f>
        <v>18464.437162499999</v>
      </c>
      <c r="F57" s="20">
        <f>+F52</f>
        <v>8800</v>
      </c>
      <c r="G57" s="20">
        <f>+Tableau82425[[#This Row],[PRIX UNITAIRE (Ar)]]*Tableau82425[[#This Row],[QUANTITE]]</f>
        <v>162487047.03</v>
      </c>
      <c r="H57" s="6"/>
      <c r="I57" s="251"/>
      <c r="J57" s="251"/>
      <c r="K57" s="251"/>
      <c r="L57" s="251"/>
      <c r="M57" s="251"/>
      <c r="N57" s="251"/>
      <c r="O57" s="251"/>
      <c r="Q57" s="265"/>
      <c r="R57" s="265"/>
      <c r="S57" s="265"/>
      <c r="T57" s="265"/>
      <c r="U57" s="265"/>
      <c r="V57" s="265"/>
    </row>
    <row r="58" spans="1:22" s="2" customFormat="1" ht="91.2" x14ac:dyDescent="0.25">
      <c r="A58" s="12" t="s">
        <v>86</v>
      </c>
      <c r="B58" s="10" t="s">
        <v>102</v>
      </c>
      <c r="C58" s="80" t="s">
        <v>426</v>
      </c>
      <c r="D58" s="15" t="s">
        <v>7</v>
      </c>
      <c r="E58" s="237">
        <f>+E56*12</f>
        <v>2606.7440699999997</v>
      </c>
      <c r="F58" s="20">
        <v>33500</v>
      </c>
      <c r="G58" s="20">
        <f>+Tableau82425[[#This Row],[PRIX UNITAIRE (Ar)]]*Tableau82425[[#This Row],[QUANTITE]]</f>
        <v>87325926.344999984</v>
      </c>
      <c r="I58" s="251"/>
      <c r="J58" s="251"/>
      <c r="K58" s="251"/>
      <c r="L58" s="251"/>
      <c r="M58" s="251"/>
      <c r="N58" s="251"/>
      <c r="O58" s="251"/>
      <c r="P58" s="264"/>
      <c r="Q58" s="265"/>
      <c r="R58" s="265"/>
      <c r="S58" s="265"/>
      <c r="T58" s="265"/>
      <c r="U58" s="265"/>
      <c r="V58" s="265"/>
    </row>
    <row r="59" spans="1:22" s="2" customFormat="1" ht="84" customHeight="1" x14ac:dyDescent="0.25">
      <c r="A59" s="12" t="s">
        <v>659</v>
      </c>
      <c r="B59" s="10" t="s">
        <v>512</v>
      </c>
      <c r="C59" s="80" t="s">
        <v>513</v>
      </c>
      <c r="D59" s="15" t="s">
        <v>5</v>
      </c>
      <c r="E59" s="238">
        <v>2</v>
      </c>
      <c r="F59" s="22">
        <v>7500000</v>
      </c>
      <c r="G59" s="20">
        <f>+Tableau82425[[#This Row],[PRIX UNITAIRE (Ar)]]*Tableau82425[[#This Row],[QUANTITE]]</f>
        <v>15000000</v>
      </c>
      <c r="I59" s="251"/>
      <c r="J59" s="251"/>
      <c r="K59" s="251"/>
      <c r="L59" s="251"/>
      <c r="M59" s="251"/>
      <c r="N59" s="251"/>
      <c r="O59" s="251"/>
      <c r="P59" s="264"/>
      <c r="Q59" s="265"/>
      <c r="R59" s="265"/>
      <c r="S59" s="265"/>
      <c r="T59" s="265"/>
      <c r="U59" s="265"/>
      <c r="V59" s="265"/>
    </row>
    <row r="60" spans="1:22" s="2" customFormat="1" ht="70.5" customHeight="1" x14ac:dyDescent="0.25">
      <c r="A60" s="12" t="s">
        <v>660</v>
      </c>
      <c r="B60" s="9" t="s">
        <v>514</v>
      </c>
      <c r="C60" s="80" t="s">
        <v>110</v>
      </c>
      <c r="D60" s="16" t="s">
        <v>7</v>
      </c>
      <c r="E60" s="237">
        <f>+METRE!M509</f>
        <v>89.509999999999991</v>
      </c>
      <c r="F60" s="20">
        <v>56500</v>
      </c>
      <c r="G60" s="20">
        <f>+Tableau82425[[#This Row],[PRIX UNITAIRE (Ar)]]*Tableau82425[[#This Row],[QUANTITE]]</f>
        <v>5057314.9999999991</v>
      </c>
      <c r="I60" s="251"/>
      <c r="J60" s="251"/>
      <c r="K60" s="251"/>
      <c r="L60" s="251"/>
      <c r="M60" s="251"/>
      <c r="N60" s="251"/>
      <c r="O60" s="251"/>
      <c r="P60" s="264"/>
      <c r="Q60" s="265"/>
      <c r="R60" s="265"/>
      <c r="S60" s="265"/>
      <c r="T60" s="265"/>
      <c r="U60" s="265"/>
      <c r="V60" s="265"/>
    </row>
    <row r="61" spans="1:22" s="2" customFormat="1" ht="45.6" x14ac:dyDescent="0.25">
      <c r="A61" s="12" t="s">
        <v>661</v>
      </c>
      <c r="B61" s="9" t="s">
        <v>515</v>
      </c>
      <c r="C61" s="80" t="s">
        <v>578</v>
      </c>
      <c r="D61" s="16" t="s">
        <v>7</v>
      </c>
      <c r="E61" s="237">
        <f>+METRE!M546</f>
        <v>903.29599999999994</v>
      </c>
      <c r="F61" s="20">
        <v>69500</v>
      </c>
      <c r="G61" s="20">
        <f>+Tableau82425[[#This Row],[PRIX UNITAIRE (Ar)]]*Tableau82425[[#This Row],[QUANTITE]]</f>
        <v>62779071.999999993</v>
      </c>
      <c r="I61" s="251"/>
      <c r="J61" s="251"/>
      <c r="K61" s="251"/>
      <c r="L61" s="251"/>
      <c r="M61" s="251"/>
      <c r="N61" s="251"/>
      <c r="O61" s="251"/>
      <c r="P61" s="264"/>
      <c r="Q61" s="265">
        <v>12</v>
      </c>
      <c r="R61" s="265">
        <v>2500</v>
      </c>
      <c r="S61" s="265">
        <f>+R61*Q61</f>
        <v>30000</v>
      </c>
      <c r="T61" s="265"/>
      <c r="U61" s="265"/>
      <c r="V61" s="265"/>
    </row>
    <row r="62" spans="1:22" s="3" customFormat="1" ht="57" x14ac:dyDescent="0.25">
      <c r="A62" s="12" t="s">
        <v>662</v>
      </c>
      <c r="B62" s="11" t="s">
        <v>517</v>
      </c>
      <c r="C62" s="80" t="s">
        <v>577</v>
      </c>
      <c r="D62" s="16" t="s">
        <v>7</v>
      </c>
      <c r="E62" s="237">
        <f>+METRE!M631</f>
        <v>1130.3312999999996</v>
      </c>
      <c r="F62" s="20">
        <v>20100</v>
      </c>
      <c r="G62" s="20">
        <f>+Tableau82425[[#This Row],[PRIX UNITAIRE (Ar)]]*Tableau82425[[#This Row],[QUANTITE]]</f>
        <v>22719659.129999992</v>
      </c>
      <c r="I62" s="253"/>
      <c r="J62" s="253"/>
      <c r="K62" s="253"/>
      <c r="L62" s="253"/>
      <c r="M62" s="253"/>
      <c r="N62" s="253"/>
      <c r="O62" s="253"/>
      <c r="P62" s="266"/>
      <c r="Q62" s="268">
        <v>7</v>
      </c>
      <c r="R62" s="268">
        <v>700</v>
      </c>
      <c r="S62" s="265">
        <f t="shared" ref="S62:S63" si="0">+R62*Q62</f>
        <v>4900</v>
      </c>
      <c r="T62" s="268"/>
      <c r="U62" s="268"/>
      <c r="V62" s="268"/>
    </row>
    <row r="63" spans="1:22" s="3" customFormat="1" ht="57" x14ac:dyDescent="0.25">
      <c r="A63" s="12" t="s">
        <v>663</v>
      </c>
      <c r="B63" s="11" t="s">
        <v>518</v>
      </c>
      <c r="C63" s="80" t="s">
        <v>576</v>
      </c>
      <c r="D63" s="16" t="s">
        <v>7</v>
      </c>
      <c r="E63" s="237">
        <f>+METRE!M651</f>
        <v>966.74550000000022</v>
      </c>
      <c r="F63" s="20">
        <v>21900</v>
      </c>
      <c r="G63" s="20">
        <f>+Tableau82425[[#This Row],[PRIX UNITAIRE (Ar)]]*Tableau82425[[#This Row],[QUANTITE]]</f>
        <v>21171726.450000003</v>
      </c>
      <c r="I63" s="253"/>
      <c r="J63" s="253"/>
      <c r="K63" s="253"/>
      <c r="L63" s="253"/>
      <c r="M63" s="253"/>
      <c r="N63" s="253"/>
      <c r="O63" s="253"/>
      <c r="P63" s="266"/>
      <c r="Q63" s="268">
        <v>0.04</v>
      </c>
      <c r="R63" s="268">
        <v>60000</v>
      </c>
      <c r="S63" s="265">
        <f t="shared" si="0"/>
        <v>2400</v>
      </c>
      <c r="T63" s="268"/>
      <c r="U63" s="268"/>
      <c r="V63" s="268"/>
    </row>
    <row r="64" spans="1:22" s="3" customFormat="1" ht="32.25" customHeight="1" x14ac:dyDescent="0.25">
      <c r="A64" s="12" t="s">
        <v>187</v>
      </c>
      <c r="B64" s="175" t="s">
        <v>236</v>
      </c>
      <c r="C64" s="174" t="s">
        <v>516</v>
      </c>
      <c r="D64" s="15" t="s">
        <v>11</v>
      </c>
      <c r="E64" s="237">
        <f>+METRE!M684</f>
        <v>14.070420000000004</v>
      </c>
      <c r="F64" s="216">
        <v>685000</v>
      </c>
      <c r="G64" s="20">
        <f>+Tableau82425[[#This Row],[PRIX UNITAIRE (Ar)]]*Tableau82425[[#This Row],[QUANTITE]]</f>
        <v>9638237.700000003</v>
      </c>
      <c r="I64" s="253"/>
      <c r="J64" s="253"/>
      <c r="K64" s="253"/>
      <c r="L64" s="253"/>
      <c r="M64" s="253"/>
      <c r="N64" s="253"/>
      <c r="O64" s="253"/>
      <c r="P64" s="266"/>
      <c r="Q64" s="268"/>
      <c r="R64" s="268">
        <v>1.25</v>
      </c>
      <c r="S64" s="268">
        <f>+SUM(S61:S63)</f>
        <v>37300</v>
      </c>
      <c r="T64" s="268">
        <v>6000</v>
      </c>
      <c r="U64" s="268">
        <f>+T64+S64</f>
        <v>43300</v>
      </c>
      <c r="V64" s="268">
        <f>+U64*R64</f>
        <v>54125</v>
      </c>
    </row>
    <row r="65" spans="1:22" s="3" customFormat="1" ht="34.200000000000003" x14ac:dyDescent="0.25">
      <c r="A65" s="12" t="s">
        <v>664</v>
      </c>
      <c r="B65" s="11" t="s">
        <v>401</v>
      </c>
      <c r="C65" s="208" t="s">
        <v>402</v>
      </c>
      <c r="D65" s="15" t="s">
        <v>7</v>
      </c>
      <c r="E65" s="237">
        <f>+METRE!M697</f>
        <v>457.89450000000005</v>
      </c>
      <c r="F65" s="216">
        <v>65600</v>
      </c>
      <c r="G65" s="20">
        <f>+Tableau82425[[#This Row],[PRIX UNITAIRE (Ar)]]*Tableau82425[[#This Row],[QUANTITE]]</f>
        <v>30037879.200000003</v>
      </c>
      <c r="I65" s="253"/>
      <c r="J65" s="253"/>
      <c r="K65" s="253"/>
      <c r="L65" s="253"/>
      <c r="M65" s="253"/>
      <c r="N65" s="253"/>
      <c r="O65" s="253"/>
      <c r="P65" s="266"/>
      <c r="Q65" s="268"/>
      <c r="R65" s="268"/>
      <c r="S65" s="268"/>
      <c r="T65" s="268"/>
      <c r="U65" s="268"/>
      <c r="V65" s="268"/>
    </row>
    <row r="66" spans="1:22" s="105" customFormat="1" ht="34.200000000000003" x14ac:dyDescent="0.25">
      <c r="A66" s="12" t="s">
        <v>665</v>
      </c>
      <c r="B66" s="11" t="s">
        <v>257</v>
      </c>
      <c r="C66" s="208" t="s">
        <v>415</v>
      </c>
      <c r="D66" s="15" t="s">
        <v>7</v>
      </c>
      <c r="E66" s="240">
        <f>+METRE!M726</f>
        <v>706.84950000000003</v>
      </c>
      <c r="F66" s="216">
        <v>27600</v>
      </c>
      <c r="G66" s="20">
        <f>+Tableau82425[[#This Row],[PRIX UNITAIRE (Ar)]]*Tableau82425[[#This Row],[QUANTITE]]</f>
        <v>19509046.199999999</v>
      </c>
      <c r="I66" s="252"/>
      <c r="J66" s="252"/>
      <c r="K66" s="252"/>
      <c r="L66" s="252"/>
      <c r="M66" s="252"/>
      <c r="N66" s="252"/>
      <c r="O66" s="252"/>
      <c r="P66" s="267"/>
      <c r="Q66" s="268">
        <v>1</v>
      </c>
      <c r="R66" s="268">
        <v>37000</v>
      </c>
      <c r="S66" s="265">
        <f t="shared" ref="S66" si="1">+R66*Q66</f>
        <v>37000</v>
      </c>
      <c r="T66" s="265"/>
      <c r="U66" s="265"/>
      <c r="V66" s="265"/>
    </row>
    <row r="67" spans="1:22" s="2" customFormat="1" ht="21" customHeight="1" x14ac:dyDescent="0.25">
      <c r="A67" s="7" t="s">
        <v>9</v>
      </c>
      <c r="B67" s="8" t="s">
        <v>32</v>
      </c>
      <c r="C67" s="80"/>
      <c r="D67" s="16"/>
      <c r="E67" s="237"/>
      <c r="F67" s="20"/>
      <c r="G67" s="25">
        <f>+SUM(G68:G78)</f>
        <v>67838629.25</v>
      </c>
      <c r="I67" s="251"/>
      <c r="J67" s="251"/>
      <c r="K67" s="251"/>
      <c r="L67" s="251"/>
      <c r="M67" s="251"/>
      <c r="N67" s="251"/>
      <c r="O67" s="251"/>
      <c r="Q67" s="268">
        <v>1</v>
      </c>
      <c r="R67" s="268">
        <v>5500</v>
      </c>
      <c r="S67" s="265">
        <f t="shared" ref="S67" si="2">+R67*Q67</f>
        <v>5500</v>
      </c>
      <c r="T67" s="268"/>
      <c r="U67" s="268"/>
      <c r="V67" s="268"/>
    </row>
    <row r="68" spans="1:22" s="2" customFormat="1" ht="57" x14ac:dyDescent="0.25">
      <c r="A68" s="13" t="s">
        <v>8</v>
      </c>
      <c r="B68" s="11" t="s">
        <v>251</v>
      </c>
      <c r="C68" s="80" t="s">
        <v>188</v>
      </c>
      <c r="D68" s="15" t="s">
        <v>6</v>
      </c>
      <c r="E68" s="238">
        <f>+METRE!M771</f>
        <v>158.96999999999997</v>
      </c>
      <c r="F68" s="21">
        <v>65300</v>
      </c>
      <c r="G68" s="21">
        <f>+Tableau82425[[#This Row],[PRIX UNITAIRE (Ar)]]*Tableau82425[[#This Row],[QUANTITE]]</f>
        <v>10380740.999999998</v>
      </c>
      <c r="I68" s="251"/>
      <c r="J68" s="251"/>
      <c r="K68" s="251"/>
      <c r="L68" s="251"/>
      <c r="M68" s="251"/>
      <c r="N68" s="251"/>
      <c r="O68" s="251"/>
      <c r="Q68" s="268"/>
      <c r="R68" s="268"/>
      <c r="S68" s="265"/>
      <c r="T68" s="268"/>
      <c r="U68" s="268"/>
      <c r="V68" s="268"/>
    </row>
    <row r="69" spans="1:22" s="2" customFormat="1" ht="34.200000000000003" x14ac:dyDescent="0.25">
      <c r="A69" s="13" t="s">
        <v>87</v>
      </c>
      <c r="B69" s="11" t="s">
        <v>598</v>
      </c>
      <c r="C69" s="80" t="s">
        <v>260</v>
      </c>
      <c r="D69" s="15" t="s">
        <v>7</v>
      </c>
      <c r="E69" s="237">
        <f>+METRE!M775</f>
        <v>176.61419999999998</v>
      </c>
      <c r="F69" s="231">
        <v>88900</v>
      </c>
      <c r="G69" s="21">
        <f>+Tableau82425[[#This Row],[PRIX UNITAIRE (Ar)]]*Tableau82425[[#This Row],[QUANTITE]]</f>
        <v>15701002.379999999</v>
      </c>
      <c r="I69" s="251"/>
      <c r="J69" s="251"/>
      <c r="K69" s="251"/>
      <c r="L69" s="251"/>
      <c r="M69" s="251"/>
      <c r="N69" s="251"/>
      <c r="O69" s="251"/>
      <c r="Q69" s="268"/>
      <c r="R69" s="268">
        <v>1.25</v>
      </c>
      <c r="S69" s="268">
        <f>+S68+S67+S66</f>
        <v>42500</v>
      </c>
      <c r="T69" s="268">
        <v>3500</v>
      </c>
      <c r="U69" s="268">
        <f>+T69+S69</f>
        <v>46000</v>
      </c>
      <c r="V69" s="268">
        <f>+U69*R69</f>
        <v>57500</v>
      </c>
    </row>
    <row r="70" spans="1:22" s="2" customFormat="1" ht="22.8" x14ac:dyDescent="0.25">
      <c r="A70" s="13" t="s">
        <v>666</v>
      </c>
      <c r="B70" s="11" t="s">
        <v>601</v>
      </c>
      <c r="C70" s="80" t="s">
        <v>602</v>
      </c>
      <c r="D70" s="15" t="s">
        <v>7</v>
      </c>
      <c r="E70" s="237">
        <f>+METRE!M779</f>
        <v>176.61419999999998</v>
      </c>
      <c r="F70" s="231">
        <v>55600</v>
      </c>
      <c r="G70" s="21">
        <f>+Tableau82425[[#This Row],[PRIX UNITAIRE (Ar)]]*Tableau82425[[#This Row],[QUANTITE]]</f>
        <v>9819749.5199999996</v>
      </c>
      <c r="I70" s="251"/>
      <c r="J70" s="251"/>
      <c r="K70" s="251"/>
      <c r="L70" s="251"/>
      <c r="M70" s="251"/>
      <c r="N70" s="251"/>
      <c r="O70" s="251"/>
      <c r="Q70" s="268">
        <v>9</v>
      </c>
      <c r="R70" s="268">
        <v>700</v>
      </c>
      <c r="S70" s="265">
        <f t="shared" ref="S70" si="3">+R70*Q70</f>
        <v>6300</v>
      </c>
      <c r="T70" s="265"/>
      <c r="U70" s="265"/>
      <c r="V70" s="265"/>
    </row>
    <row r="71" spans="1:22" s="2" customFormat="1" ht="22.8" x14ac:dyDescent="0.25">
      <c r="A71" s="13" t="s">
        <v>667</v>
      </c>
      <c r="B71" s="11" t="s">
        <v>252</v>
      </c>
      <c r="C71" s="80" t="s">
        <v>230</v>
      </c>
      <c r="D71" s="16" t="s">
        <v>6</v>
      </c>
      <c r="E71" s="237">
        <f>+METRE!M783</f>
        <v>26.574000000000002</v>
      </c>
      <c r="F71" s="231">
        <v>51800</v>
      </c>
      <c r="G71" s="21">
        <f>+Tableau82425[[#This Row],[PRIX UNITAIRE (Ar)]]*Tableau82425[[#This Row],[QUANTITE]]</f>
        <v>1376533.2000000002</v>
      </c>
      <c r="I71" s="251"/>
      <c r="J71" s="251"/>
      <c r="K71" s="251"/>
      <c r="L71" s="251"/>
      <c r="M71" s="251"/>
      <c r="N71" s="251"/>
      <c r="O71" s="251"/>
      <c r="Q71" s="268">
        <f>+Q70/50</f>
        <v>0.18</v>
      </c>
      <c r="R71" s="268">
        <v>9000</v>
      </c>
      <c r="S71" s="265">
        <f t="shared" ref="S71:S73" si="4">+R71*Q71</f>
        <v>1620</v>
      </c>
      <c r="T71" s="265"/>
      <c r="U71" s="265"/>
      <c r="V71" s="265"/>
    </row>
    <row r="72" spans="1:22" s="2" customFormat="1" ht="22.8" x14ac:dyDescent="0.25">
      <c r="A72" s="13" t="s">
        <v>141</v>
      </c>
      <c r="B72" s="11" t="s">
        <v>252</v>
      </c>
      <c r="C72" s="80" t="s">
        <v>231</v>
      </c>
      <c r="D72" s="16" t="s">
        <v>6</v>
      </c>
      <c r="E72" s="237">
        <f>+METRE!M786</f>
        <v>18.128000000000004</v>
      </c>
      <c r="F72" s="231">
        <f>+F71</f>
        <v>51800</v>
      </c>
      <c r="G72" s="21">
        <f>+Tableau82425[[#This Row],[PRIX UNITAIRE (Ar)]]*Tableau82425[[#This Row],[QUANTITE]]</f>
        <v>939030.40000000014</v>
      </c>
      <c r="I72" s="251"/>
      <c r="J72" s="251"/>
      <c r="K72" s="251"/>
      <c r="L72" s="251"/>
      <c r="M72" s="251"/>
      <c r="N72" s="251"/>
      <c r="O72" s="251"/>
      <c r="Q72" s="268">
        <v>0.05</v>
      </c>
      <c r="R72" s="268">
        <v>60000</v>
      </c>
      <c r="S72" s="265">
        <f t="shared" si="4"/>
        <v>3000</v>
      </c>
      <c r="T72" s="268"/>
      <c r="U72" s="268"/>
      <c r="V72" s="268"/>
    </row>
    <row r="73" spans="1:22" s="2" customFormat="1" ht="34.799999999999997" x14ac:dyDescent="0.25">
      <c r="A73" s="13" t="s">
        <v>142</v>
      </c>
      <c r="B73" s="10" t="s">
        <v>258</v>
      </c>
      <c r="C73" s="80" t="s">
        <v>138</v>
      </c>
      <c r="D73" s="16" t="s">
        <v>6</v>
      </c>
      <c r="E73" s="237">
        <f>+METRE!M790</f>
        <v>91.350000000000009</v>
      </c>
      <c r="F73" s="231">
        <v>29900</v>
      </c>
      <c r="G73" s="21">
        <f>+Tableau82425[[#This Row],[PRIX UNITAIRE (Ar)]]*Tableau82425[[#This Row],[QUANTITE]]</f>
        <v>2731365.0000000005</v>
      </c>
      <c r="I73" s="251"/>
      <c r="J73" s="251"/>
      <c r="K73" s="251"/>
      <c r="L73" s="251"/>
      <c r="M73" s="251"/>
      <c r="N73" s="251"/>
      <c r="O73" s="251"/>
      <c r="Q73" s="268">
        <v>5</v>
      </c>
      <c r="R73" s="268">
        <v>50</v>
      </c>
      <c r="S73" s="265">
        <f t="shared" si="4"/>
        <v>250</v>
      </c>
      <c r="T73" s="268"/>
      <c r="U73" s="268"/>
      <c r="V73" s="268"/>
    </row>
    <row r="74" spans="1:22" s="2" customFormat="1" ht="22.8" x14ac:dyDescent="0.25">
      <c r="A74" s="13" t="s">
        <v>243</v>
      </c>
      <c r="B74" s="10" t="s">
        <v>235</v>
      </c>
      <c r="C74" s="80" t="s">
        <v>97</v>
      </c>
      <c r="D74" s="21" t="s">
        <v>5</v>
      </c>
      <c r="E74" s="237">
        <f>+METRE!M793</f>
        <v>6</v>
      </c>
      <c r="F74" s="231">
        <v>175000</v>
      </c>
      <c r="G74" s="21">
        <f>+Tableau82425[[#This Row],[PRIX UNITAIRE (Ar)]]*Tableau82425[[#This Row],[QUANTITE]]</f>
        <v>1050000</v>
      </c>
      <c r="I74" s="251"/>
      <c r="J74" s="251"/>
      <c r="K74" s="251"/>
      <c r="L74" s="251"/>
      <c r="M74" s="251"/>
      <c r="N74" s="251"/>
      <c r="O74" s="251"/>
      <c r="Q74" s="268"/>
      <c r="R74" s="268">
        <v>1.25</v>
      </c>
      <c r="S74" s="268">
        <f>+S73+S72+S71+S70</f>
        <v>11170</v>
      </c>
      <c r="T74" s="268">
        <v>6000</v>
      </c>
      <c r="U74" s="268">
        <f>+T74+S74</f>
        <v>17170</v>
      </c>
      <c r="V74" s="268">
        <f>+U74*R74</f>
        <v>21462.5</v>
      </c>
    </row>
    <row r="75" spans="1:22" s="2" customFormat="1" ht="22.8" x14ac:dyDescent="0.25">
      <c r="A75" s="13" t="s">
        <v>244</v>
      </c>
      <c r="B75" s="10" t="s">
        <v>234</v>
      </c>
      <c r="C75" s="81" t="s">
        <v>96</v>
      </c>
      <c r="D75" s="21" t="s">
        <v>5</v>
      </c>
      <c r="E75" s="237">
        <f>+METRE!M795</f>
        <v>6</v>
      </c>
      <c r="F75" s="231">
        <v>33000</v>
      </c>
      <c r="G75" s="21">
        <f>+Tableau82425[[#This Row],[PRIX UNITAIRE (Ar)]]*Tableau82425[[#This Row],[QUANTITE]]</f>
        <v>198000</v>
      </c>
      <c r="I75" s="251"/>
      <c r="J75" s="251"/>
      <c r="K75" s="251"/>
      <c r="L75" s="251"/>
      <c r="M75" s="251"/>
      <c r="N75" s="251"/>
      <c r="O75" s="251"/>
      <c r="Q75" s="265"/>
      <c r="R75" s="265"/>
      <c r="S75" s="265"/>
      <c r="T75" s="265"/>
      <c r="U75" s="265"/>
      <c r="V75" s="265"/>
    </row>
    <row r="76" spans="1:22" s="2" customFormat="1" ht="56.25" customHeight="1" x14ac:dyDescent="0.25">
      <c r="A76" s="13" t="s">
        <v>245</v>
      </c>
      <c r="B76" s="10" t="s">
        <v>261</v>
      </c>
      <c r="C76" s="80" t="s">
        <v>599</v>
      </c>
      <c r="D76" s="15" t="s">
        <v>7</v>
      </c>
      <c r="E76" s="237">
        <f>+METRE!M797</f>
        <v>164.06249999999997</v>
      </c>
      <c r="F76" s="22">
        <v>31500</v>
      </c>
      <c r="G76" s="21">
        <f>+Tableau82425[[#This Row],[PRIX UNITAIRE (Ar)]]*Tableau82425[[#This Row],[QUANTITE]]</f>
        <v>5167968.7499999991</v>
      </c>
      <c r="I76" s="251"/>
      <c r="J76" s="251"/>
      <c r="K76" s="251"/>
      <c r="L76" s="251"/>
      <c r="M76" s="251"/>
      <c r="N76" s="251"/>
      <c r="O76" s="251"/>
      <c r="P76" s="2">
        <v>11</v>
      </c>
      <c r="Q76" s="268">
        <v>1.2</v>
      </c>
      <c r="R76" s="268">
        <f>+Q76*P76</f>
        <v>13.2</v>
      </c>
      <c r="S76" s="265">
        <v>325000</v>
      </c>
      <c r="T76" s="265">
        <f>+S76/R76</f>
        <v>24621.212121212124</v>
      </c>
      <c r="U76" s="265">
        <f>+T76*1.55</f>
        <v>38162.878787878792</v>
      </c>
      <c r="V76" s="265"/>
    </row>
    <row r="77" spans="1:22" s="2" customFormat="1" ht="91.2" x14ac:dyDescent="0.25">
      <c r="A77" s="13" t="s">
        <v>668</v>
      </c>
      <c r="B77" s="10" t="s">
        <v>253</v>
      </c>
      <c r="C77" s="80" t="s">
        <v>600</v>
      </c>
      <c r="D77" s="15" t="s">
        <v>7</v>
      </c>
      <c r="E77" s="237">
        <f>+METRE!M814</f>
        <v>181.06200000000001</v>
      </c>
      <c r="F77" s="22">
        <v>68500</v>
      </c>
      <c r="G77" s="21">
        <f>+Tableau82425[[#This Row],[PRIX UNITAIRE (Ar)]]*Tableau82425[[#This Row],[QUANTITE]]</f>
        <v>12402747</v>
      </c>
      <c r="I77" s="251"/>
      <c r="J77" s="251"/>
      <c r="K77" s="251"/>
      <c r="L77" s="251"/>
      <c r="M77" s="251"/>
      <c r="N77" s="251"/>
      <c r="O77" s="251"/>
      <c r="Q77" s="268"/>
      <c r="R77" s="268"/>
      <c r="S77" s="265"/>
      <c r="T77" s="265"/>
      <c r="U77" s="265"/>
      <c r="V77" s="265"/>
    </row>
    <row r="78" spans="1:22" s="2" customFormat="1" ht="125.4" x14ac:dyDescent="0.25">
      <c r="A78" s="13" t="s">
        <v>669</v>
      </c>
      <c r="B78" s="10" t="s">
        <v>377</v>
      </c>
      <c r="C78" s="80" t="s">
        <v>363</v>
      </c>
      <c r="D78" s="15" t="s">
        <v>7</v>
      </c>
      <c r="E78" s="237">
        <f>+METRE!M821</f>
        <v>117.83200000000001</v>
      </c>
      <c r="F78" s="22">
        <f>+F77</f>
        <v>68500</v>
      </c>
      <c r="G78" s="21">
        <f>+Tableau82425[[#This Row],[PRIX UNITAIRE (Ar)]]*Tableau82425[[#This Row],[QUANTITE]]</f>
        <v>8071492.0000000009</v>
      </c>
      <c r="I78" s="251"/>
      <c r="J78" s="251"/>
      <c r="K78" s="251"/>
      <c r="L78" s="251"/>
      <c r="M78" s="251"/>
      <c r="N78" s="251"/>
      <c r="O78" s="251"/>
      <c r="Q78" s="268"/>
      <c r="R78" s="268"/>
      <c r="S78" s="265"/>
      <c r="T78" s="268"/>
      <c r="U78" s="268"/>
      <c r="V78" s="268"/>
    </row>
    <row r="79" spans="1:22" s="2" customFormat="1" ht="21" customHeight="1" x14ac:dyDescent="0.25">
      <c r="A79" s="7" t="s">
        <v>34</v>
      </c>
      <c r="B79" s="8" t="s">
        <v>17</v>
      </c>
      <c r="C79" s="8"/>
      <c r="D79" s="16"/>
      <c r="E79" s="237"/>
      <c r="F79" s="231"/>
      <c r="G79" s="25">
        <f>+SUM(G80:G88)</f>
        <v>26763500</v>
      </c>
      <c r="I79" s="251"/>
      <c r="J79" s="251"/>
      <c r="K79" s="251"/>
      <c r="L79" s="251"/>
      <c r="M79" s="251"/>
      <c r="N79" s="251"/>
      <c r="O79" s="251"/>
      <c r="Q79" s="268"/>
      <c r="R79" s="268"/>
      <c r="S79" s="265"/>
      <c r="T79" s="268"/>
      <c r="U79" s="268"/>
      <c r="V79" s="268"/>
    </row>
    <row r="80" spans="1:22" s="2" customFormat="1" ht="53.25" customHeight="1" x14ac:dyDescent="0.25">
      <c r="A80" s="13" t="s">
        <v>88</v>
      </c>
      <c r="B80" s="11" t="s">
        <v>407</v>
      </c>
      <c r="C80" s="208" t="s">
        <v>249</v>
      </c>
      <c r="D80" s="16" t="s">
        <v>25</v>
      </c>
      <c r="E80" s="237">
        <v>1</v>
      </c>
      <c r="F80" s="21">
        <v>5600000</v>
      </c>
      <c r="G80" s="20">
        <f>+Tableau82425[[#This Row],[PRIX UNITAIRE (Ar)]]*Tableau82425[[#This Row],[QUANTITE]]</f>
        <v>5600000</v>
      </c>
      <c r="I80" s="251"/>
      <c r="J80" s="251"/>
      <c r="K80" s="251"/>
      <c r="L80" s="251"/>
      <c r="M80" s="251"/>
      <c r="N80" s="251"/>
      <c r="O80" s="251"/>
      <c r="Q80" s="268"/>
      <c r="R80" s="268"/>
      <c r="S80" s="268"/>
      <c r="T80" s="268"/>
      <c r="U80" s="268"/>
      <c r="V80" s="268"/>
    </row>
    <row r="81" spans="1:22" s="2" customFormat="1" ht="22.8" x14ac:dyDescent="0.25">
      <c r="A81" s="13" t="s">
        <v>89</v>
      </c>
      <c r="B81" s="193" t="s">
        <v>611</v>
      </c>
      <c r="C81" s="208" t="s">
        <v>248</v>
      </c>
      <c r="D81" s="16" t="s">
        <v>6</v>
      </c>
      <c r="E81" s="238">
        <v>12.9</v>
      </c>
      <c r="F81" s="22">
        <v>115000</v>
      </c>
      <c r="G81" s="20">
        <f>+Tableau82425[[#This Row],[PRIX UNITAIRE (Ar)]]*Tableau82425[[#This Row],[QUANTITE]]</f>
        <v>1483500</v>
      </c>
      <c r="I81" s="251"/>
      <c r="J81" s="251"/>
      <c r="K81" s="251"/>
      <c r="L81" s="251"/>
      <c r="M81" s="251"/>
      <c r="N81" s="251"/>
      <c r="O81" s="251"/>
      <c r="Q81" s="265"/>
      <c r="R81" s="265"/>
      <c r="S81" s="265"/>
      <c r="T81" s="265"/>
      <c r="U81" s="265"/>
      <c r="V81" s="265"/>
    </row>
    <row r="82" spans="1:22" s="2" customFormat="1" ht="34.200000000000003" x14ac:dyDescent="0.25">
      <c r="A82" s="13" t="s">
        <v>90</v>
      </c>
      <c r="B82" s="11" t="s">
        <v>406</v>
      </c>
      <c r="C82" s="82" t="s">
        <v>99</v>
      </c>
      <c r="D82" s="16" t="s">
        <v>5</v>
      </c>
      <c r="E82" s="237">
        <v>8</v>
      </c>
      <c r="F82" s="21">
        <v>245000</v>
      </c>
      <c r="G82" s="20">
        <f>+Tableau82425[[#This Row],[PRIX UNITAIRE (Ar)]]*Tableau82425[[#This Row],[QUANTITE]]</f>
        <v>1960000</v>
      </c>
      <c r="I82" s="251"/>
      <c r="J82" s="251"/>
      <c r="K82" s="251"/>
      <c r="L82" s="251"/>
      <c r="M82" s="251"/>
      <c r="N82" s="251"/>
      <c r="O82" s="251"/>
      <c r="Q82" s="265"/>
      <c r="R82" s="265"/>
      <c r="S82" s="265"/>
      <c r="T82" s="265"/>
      <c r="U82" s="265"/>
      <c r="V82" s="265"/>
    </row>
    <row r="83" spans="1:22" s="2" customFormat="1" ht="34.200000000000003" x14ac:dyDescent="0.25">
      <c r="A83" s="13" t="s">
        <v>101</v>
      </c>
      <c r="B83" s="11" t="s">
        <v>405</v>
      </c>
      <c r="C83" s="82" t="s">
        <v>99</v>
      </c>
      <c r="D83" s="16" t="s">
        <v>5</v>
      </c>
      <c r="E83" s="237">
        <v>3</v>
      </c>
      <c r="F83" s="21">
        <v>265000</v>
      </c>
      <c r="G83" s="20">
        <f>+Tableau82425[[#This Row],[PRIX UNITAIRE (Ar)]]*Tableau82425[[#This Row],[QUANTITE]]</f>
        <v>795000</v>
      </c>
      <c r="I83" s="251"/>
      <c r="J83" s="251"/>
      <c r="K83" s="251"/>
      <c r="L83" s="251"/>
      <c r="M83" s="251"/>
      <c r="N83" s="251"/>
      <c r="O83" s="251"/>
      <c r="Q83" s="265"/>
      <c r="R83" s="265"/>
      <c r="S83" s="265"/>
      <c r="T83" s="265"/>
      <c r="U83" s="265"/>
      <c r="V83" s="265"/>
    </row>
    <row r="84" spans="1:22" s="2" customFormat="1" ht="34.200000000000003" x14ac:dyDescent="0.25">
      <c r="A84" s="13" t="s">
        <v>116</v>
      </c>
      <c r="B84" s="11" t="s">
        <v>404</v>
      </c>
      <c r="C84" s="82" t="s">
        <v>99</v>
      </c>
      <c r="D84" s="16" t="s">
        <v>5</v>
      </c>
      <c r="E84" s="237">
        <v>1</v>
      </c>
      <c r="F84" s="21">
        <v>285000</v>
      </c>
      <c r="G84" s="20">
        <f>+Tableau82425[[#This Row],[PRIX UNITAIRE (Ar)]]*Tableau82425[[#This Row],[QUANTITE]]</f>
        <v>285000</v>
      </c>
      <c r="I84" s="251"/>
      <c r="J84" s="251"/>
      <c r="K84" s="251"/>
      <c r="L84" s="251"/>
      <c r="M84" s="251"/>
      <c r="N84" s="251"/>
      <c r="O84" s="251"/>
      <c r="Q84" s="265"/>
      <c r="R84" s="265"/>
      <c r="S84" s="265"/>
      <c r="T84" s="265"/>
      <c r="U84" s="265"/>
      <c r="V84" s="265"/>
    </row>
    <row r="85" spans="1:22" s="2" customFormat="1" ht="34.200000000000003" x14ac:dyDescent="0.25">
      <c r="A85" s="13" t="s">
        <v>143</v>
      </c>
      <c r="B85" s="11" t="s">
        <v>403</v>
      </c>
      <c r="C85" s="82" t="s">
        <v>192</v>
      </c>
      <c r="D85" s="16" t="s">
        <v>5</v>
      </c>
      <c r="E85" s="237">
        <v>1</v>
      </c>
      <c r="F85" s="21">
        <v>490000</v>
      </c>
      <c r="G85" s="20">
        <f>+Tableau82425[[#This Row],[PRIX UNITAIRE (Ar)]]*Tableau82425[[#This Row],[QUANTITE]]</f>
        <v>490000</v>
      </c>
      <c r="I85" s="251"/>
      <c r="J85" s="251"/>
      <c r="K85" s="251"/>
      <c r="L85" s="251"/>
      <c r="M85" s="251"/>
      <c r="N85" s="251"/>
      <c r="O85" s="251"/>
      <c r="Q85" s="265"/>
      <c r="R85" s="265"/>
      <c r="S85" s="265"/>
      <c r="T85" s="265"/>
      <c r="U85" s="265"/>
      <c r="V85" s="265"/>
    </row>
    <row r="86" spans="1:22" s="2" customFormat="1" ht="40.5" customHeight="1" x14ac:dyDescent="0.25">
      <c r="A86" s="13" t="s">
        <v>246</v>
      </c>
      <c r="B86" s="209" t="s">
        <v>612</v>
      </c>
      <c r="C86" s="82" t="s">
        <v>189</v>
      </c>
      <c r="D86" s="16" t="s">
        <v>5</v>
      </c>
      <c r="E86" s="237">
        <v>1</v>
      </c>
      <c r="F86" s="21">
        <v>3600000</v>
      </c>
      <c r="G86" s="20">
        <f>+Tableau82425[[#This Row],[PRIX UNITAIRE (Ar)]]*Tableau82425[[#This Row],[QUANTITE]]</f>
        <v>3600000</v>
      </c>
      <c r="I86" s="251"/>
      <c r="J86" s="251"/>
      <c r="K86" s="251"/>
      <c r="L86" s="251"/>
      <c r="M86" s="251"/>
      <c r="N86" s="251"/>
      <c r="O86" s="251"/>
      <c r="Q86" s="265"/>
      <c r="R86" s="265"/>
      <c r="S86" s="265"/>
      <c r="T86" s="265"/>
      <c r="U86" s="265"/>
      <c r="V86" s="265"/>
    </row>
    <row r="87" spans="1:22" s="2" customFormat="1" ht="40.5" customHeight="1" x14ac:dyDescent="0.25">
      <c r="A87" s="13" t="s">
        <v>670</v>
      </c>
      <c r="B87" s="209" t="s">
        <v>613</v>
      </c>
      <c r="C87" s="82" t="s">
        <v>189</v>
      </c>
      <c r="D87" s="16" t="s">
        <v>5</v>
      </c>
      <c r="E87" s="237">
        <v>1</v>
      </c>
      <c r="F87" s="21">
        <v>9600000</v>
      </c>
      <c r="G87" s="20">
        <f>+Tableau82425[[#This Row],[PRIX UNITAIRE (Ar)]]*Tableau82425[[#This Row],[QUANTITE]]</f>
        <v>9600000</v>
      </c>
      <c r="I87" s="251"/>
      <c r="J87" s="251"/>
      <c r="K87" s="251"/>
      <c r="L87" s="251"/>
      <c r="M87" s="251"/>
      <c r="N87" s="251"/>
      <c r="O87" s="251"/>
      <c r="Q87" s="265"/>
      <c r="R87" s="265"/>
      <c r="S87" s="265"/>
      <c r="T87" s="265"/>
      <c r="U87" s="265"/>
      <c r="V87" s="265"/>
    </row>
    <row r="88" spans="1:22" s="3" customFormat="1" ht="51.75" customHeight="1" x14ac:dyDescent="0.25">
      <c r="A88" s="13" t="s">
        <v>247</v>
      </c>
      <c r="B88" s="209" t="s">
        <v>191</v>
      </c>
      <c r="C88" s="82" t="s">
        <v>190</v>
      </c>
      <c r="D88" s="15" t="s">
        <v>5</v>
      </c>
      <c r="E88" s="237">
        <v>1</v>
      </c>
      <c r="F88" s="231">
        <v>2950000</v>
      </c>
      <c r="G88" s="20">
        <f>+Tableau82425[[#This Row],[PRIX UNITAIRE (Ar)]]*Tableau82425[[#This Row],[QUANTITE]]</f>
        <v>2950000</v>
      </c>
      <c r="I88" s="253"/>
      <c r="J88" s="253"/>
      <c r="K88" s="253"/>
      <c r="L88" s="253"/>
      <c r="M88" s="253"/>
      <c r="N88" s="253"/>
      <c r="O88" s="253"/>
      <c r="Q88" s="268"/>
      <c r="R88" s="268"/>
      <c r="S88" s="268"/>
      <c r="T88" s="268"/>
      <c r="U88" s="268"/>
      <c r="V88" s="268"/>
    </row>
    <row r="89" spans="1:22" s="334" customFormat="1" ht="21" customHeight="1" x14ac:dyDescent="0.25">
      <c r="A89" s="329" t="s">
        <v>26</v>
      </c>
      <c r="B89" s="330" t="s">
        <v>33</v>
      </c>
      <c r="C89" s="330"/>
      <c r="D89" s="331"/>
      <c r="E89" s="332"/>
      <c r="F89" s="333"/>
      <c r="G89" s="25">
        <f>+SUM(G90:G94)</f>
        <v>88057342.327499986</v>
      </c>
      <c r="I89" s="335"/>
      <c r="J89" s="335"/>
      <c r="K89" s="335"/>
      <c r="L89" s="335"/>
      <c r="M89" s="335"/>
      <c r="N89" s="335"/>
      <c r="O89" s="335"/>
      <c r="Q89" s="336"/>
      <c r="R89" s="336"/>
      <c r="S89" s="336"/>
      <c r="T89" s="336"/>
      <c r="U89" s="336"/>
      <c r="V89" s="336"/>
    </row>
    <row r="90" spans="1:22" s="2" customFormat="1" ht="34.200000000000003" x14ac:dyDescent="0.25">
      <c r="A90" s="13" t="s">
        <v>329</v>
      </c>
      <c r="B90" s="9" t="s">
        <v>281</v>
      </c>
      <c r="C90" s="182" t="s">
        <v>276</v>
      </c>
      <c r="D90" s="16" t="s">
        <v>7</v>
      </c>
      <c r="E90" s="238">
        <f>+METRE!M833</f>
        <v>1343.5442999999996</v>
      </c>
      <c r="F90" s="22">
        <v>11500</v>
      </c>
      <c r="G90" s="22">
        <f>+Tableau82425[[#This Row],[PRIX UNITAIRE (Ar)]]*Tableau82425[[#This Row],[QUANTITE]]</f>
        <v>15450759.449999996</v>
      </c>
      <c r="I90" s="251"/>
      <c r="J90" s="251"/>
      <c r="K90" s="251"/>
      <c r="L90" s="251"/>
      <c r="M90" s="251"/>
      <c r="N90" s="251"/>
      <c r="O90" s="251"/>
      <c r="Q90" s="265"/>
      <c r="R90" s="265"/>
      <c r="S90" s="265"/>
      <c r="T90" s="265"/>
      <c r="U90" s="265"/>
      <c r="V90" s="265"/>
    </row>
    <row r="91" spans="1:22" s="2" customFormat="1" ht="34.200000000000003" x14ac:dyDescent="0.25">
      <c r="A91" s="13" t="s">
        <v>330</v>
      </c>
      <c r="B91" s="9" t="s">
        <v>280</v>
      </c>
      <c r="C91" s="182" t="s">
        <v>277</v>
      </c>
      <c r="D91" s="16" t="s">
        <v>7</v>
      </c>
      <c r="E91" s="238">
        <f>+METRE!M840</f>
        <v>2310.2898</v>
      </c>
      <c r="F91" s="22">
        <v>10500</v>
      </c>
      <c r="G91" s="22">
        <f>+Tableau82425[[#This Row],[PRIX UNITAIRE (Ar)]]*Tableau82425[[#This Row],[QUANTITE]]</f>
        <v>24258042.899999999</v>
      </c>
      <c r="I91" s="251"/>
      <c r="J91" s="251"/>
      <c r="K91" s="251"/>
      <c r="L91" s="251"/>
      <c r="M91" s="251"/>
      <c r="N91" s="251"/>
      <c r="O91" s="251"/>
      <c r="Q91" s="265"/>
      <c r="R91" s="265"/>
      <c r="S91" s="265"/>
      <c r="T91" s="265"/>
      <c r="U91" s="265"/>
      <c r="V91" s="265"/>
    </row>
    <row r="92" spans="1:22" s="2" customFormat="1" ht="34.200000000000003" x14ac:dyDescent="0.25">
      <c r="A92" s="13" t="s">
        <v>331</v>
      </c>
      <c r="B92" s="9" t="s">
        <v>390</v>
      </c>
      <c r="C92" s="182" t="s">
        <v>278</v>
      </c>
      <c r="D92" s="16" t="s">
        <v>7</v>
      </c>
      <c r="E92" s="238">
        <f>+METRE!M845</f>
        <v>1343.5442999999996</v>
      </c>
      <c r="F92" s="22">
        <v>16800</v>
      </c>
      <c r="G92" s="22">
        <f>+Tableau82425[[#This Row],[PRIX UNITAIRE (Ar)]]*Tableau82425[[#This Row],[QUANTITE]]</f>
        <v>22571544.239999991</v>
      </c>
      <c r="I92" s="251"/>
      <c r="J92" s="251"/>
      <c r="K92" s="251"/>
      <c r="L92" s="251"/>
      <c r="M92" s="251"/>
      <c r="N92" s="251"/>
      <c r="O92" s="251"/>
      <c r="Q92" s="265"/>
      <c r="R92" s="265"/>
      <c r="S92" s="265"/>
      <c r="T92" s="265"/>
      <c r="U92" s="265"/>
      <c r="V92" s="265"/>
    </row>
    <row r="93" spans="1:22" s="2" customFormat="1" ht="34.200000000000003" x14ac:dyDescent="0.25">
      <c r="A93" s="13" t="s">
        <v>332</v>
      </c>
      <c r="B93" s="9" t="s">
        <v>654</v>
      </c>
      <c r="C93" s="182" t="s">
        <v>378</v>
      </c>
      <c r="D93" s="16" t="s">
        <v>7</v>
      </c>
      <c r="E93" s="238">
        <f>+METRE!M849</f>
        <v>966.74550000000022</v>
      </c>
      <c r="F93" s="22">
        <v>25600</v>
      </c>
      <c r="G93" s="22">
        <f>+Tableau82425[[#This Row],[PRIX UNITAIRE (Ar)]]*Tableau82425[[#This Row],[QUANTITE]]</f>
        <v>24748684.800000004</v>
      </c>
      <c r="I93" s="251"/>
      <c r="J93" s="251"/>
      <c r="K93" s="251"/>
      <c r="L93" s="251"/>
      <c r="M93" s="251"/>
      <c r="N93" s="251"/>
      <c r="O93" s="251"/>
      <c r="Q93" s="265"/>
      <c r="R93" s="265"/>
      <c r="S93" s="265"/>
      <c r="T93" s="265"/>
      <c r="U93" s="265"/>
      <c r="V93" s="265"/>
    </row>
    <row r="94" spans="1:22" s="2" customFormat="1" ht="34.200000000000003" x14ac:dyDescent="0.25">
      <c r="A94" s="13" t="s">
        <v>333</v>
      </c>
      <c r="B94" s="9" t="s">
        <v>279</v>
      </c>
      <c r="C94" s="182" t="s">
        <v>653</v>
      </c>
      <c r="D94" s="16" t="s">
        <v>7</v>
      </c>
      <c r="E94" s="238">
        <f>+METRE!M853</f>
        <v>55.584375000000009</v>
      </c>
      <c r="F94" s="22">
        <v>18500</v>
      </c>
      <c r="G94" s="22">
        <f>+Tableau82425[[#This Row],[PRIX UNITAIRE (Ar)]]*Tableau82425[[#This Row],[QUANTITE]]</f>
        <v>1028310.9375000001</v>
      </c>
      <c r="I94" s="251"/>
      <c r="J94" s="251"/>
      <c r="K94" s="251"/>
      <c r="L94" s="251"/>
      <c r="M94" s="251"/>
      <c r="N94" s="251"/>
      <c r="O94" s="251"/>
      <c r="Q94" s="265"/>
      <c r="R94" s="265"/>
      <c r="S94" s="265"/>
      <c r="T94" s="265"/>
      <c r="U94" s="265"/>
      <c r="V94" s="265"/>
    </row>
    <row r="95" spans="1:22" s="2" customFormat="1" ht="21" customHeight="1" x14ac:dyDescent="0.25">
      <c r="A95" s="7" t="s">
        <v>38</v>
      </c>
      <c r="B95" s="8" t="s">
        <v>282</v>
      </c>
      <c r="C95" s="8"/>
      <c r="D95" s="16"/>
      <c r="E95" s="237"/>
      <c r="F95" s="231"/>
      <c r="G95" s="25">
        <f>+SUM(G96:G110)</f>
        <v>193420625.75</v>
      </c>
      <c r="I95" s="251"/>
      <c r="J95" s="251"/>
      <c r="K95" s="251"/>
      <c r="L95" s="251"/>
      <c r="M95" s="251"/>
      <c r="N95" s="251"/>
      <c r="O95" s="251"/>
      <c r="Q95" s="265"/>
      <c r="R95" s="265"/>
      <c r="S95" s="265"/>
      <c r="T95" s="265"/>
      <c r="U95" s="265"/>
      <c r="V95" s="265"/>
    </row>
    <row r="96" spans="1:22" s="2" customFormat="1" ht="57" x14ac:dyDescent="0.25">
      <c r="A96" s="13" t="s">
        <v>274</v>
      </c>
      <c r="B96" s="222" t="s">
        <v>952</v>
      </c>
      <c r="C96" s="8" t="s">
        <v>883</v>
      </c>
      <c r="D96" s="16" t="s">
        <v>7</v>
      </c>
      <c r="E96" s="150">
        <f>564*1.05</f>
        <v>592.20000000000005</v>
      </c>
      <c r="F96" s="22">
        <v>115600</v>
      </c>
      <c r="G96" s="22">
        <f>+Tableau82425[[#This Row],[PRIX UNITAIRE (Ar)]]*Tableau82425[[#This Row],[QUANTITE]]</f>
        <v>68458320</v>
      </c>
      <c r="I96" s="251"/>
      <c r="J96" s="251"/>
      <c r="K96" s="251"/>
      <c r="L96" s="251"/>
      <c r="M96" s="251"/>
      <c r="N96" s="251"/>
      <c r="O96" s="251"/>
      <c r="Q96" s="265"/>
      <c r="R96" s="265"/>
      <c r="S96" s="265"/>
      <c r="T96" s="265"/>
      <c r="U96" s="265"/>
      <c r="V96" s="265"/>
    </row>
    <row r="97" spans="1:22" s="2" customFormat="1" ht="57" x14ac:dyDescent="0.25">
      <c r="A97" s="13" t="s">
        <v>275</v>
      </c>
      <c r="B97" s="222" t="s">
        <v>953</v>
      </c>
      <c r="C97" s="8" t="s">
        <v>882</v>
      </c>
      <c r="D97" s="16" t="s">
        <v>6</v>
      </c>
      <c r="E97" s="150">
        <f>320.2*1.1</f>
        <v>352.22</v>
      </c>
      <c r="F97" s="22">
        <v>25300</v>
      </c>
      <c r="G97" s="22">
        <f>+Tableau82425[[#This Row],[PRIX UNITAIRE (Ar)]]*Tableau82425[[#This Row],[QUANTITE]]</f>
        <v>8911166</v>
      </c>
      <c r="I97" s="251"/>
      <c r="J97" s="251"/>
      <c r="K97" s="251"/>
      <c r="L97" s="251"/>
      <c r="M97" s="251"/>
      <c r="N97" s="251"/>
      <c r="O97" s="251"/>
      <c r="Q97" s="265"/>
      <c r="R97" s="265"/>
      <c r="S97" s="265"/>
      <c r="T97" s="265"/>
      <c r="U97" s="265"/>
      <c r="V97" s="265"/>
    </row>
    <row r="98" spans="1:22" s="2" customFormat="1" ht="57" x14ac:dyDescent="0.25">
      <c r="A98" s="13" t="s">
        <v>655</v>
      </c>
      <c r="B98" s="244" t="s">
        <v>951</v>
      </c>
      <c r="C98" s="8" t="s">
        <v>884</v>
      </c>
      <c r="D98" s="16" t="s">
        <v>7</v>
      </c>
      <c r="E98" s="238">
        <f>99.1*1.1</f>
        <v>109.01</v>
      </c>
      <c r="F98" s="22">
        <v>93500</v>
      </c>
      <c r="G98" s="22">
        <f>+Tableau82425[[#This Row],[PRIX UNITAIRE (Ar)]]*Tableau82425[[#This Row],[QUANTITE]]</f>
        <v>10192435</v>
      </c>
      <c r="I98" s="251"/>
      <c r="J98" s="251"/>
      <c r="K98" s="251"/>
      <c r="L98" s="251"/>
      <c r="M98" s="251"/>
      <c r="N98" s="251"/>
      <c r="O98" s="251"/>
      <c r="Q98" s="265"/>
      <c r="R98" s="265"/>
      <c r="S98" s="265"/>
      <c r="T98" s="265"/>
      <c r="U98" s="265"/>
      <c r="V98" s="265"/>
    </row>
    <row r="99" spans="1:22" s="2" customFormat="1" ht="34.200000000000003" x14ac:dyDescent="0.25">
      <c r="A99" s="13" t="s">
        <v>656</v>
      </c>
      <c r="B99" s="222" t="s">
        <v>885</v>
      </c>
      <c r="C99" s="103" t="s">
        <v>886</v>
      </c>
      <c r="D99" s="16" t="s">
        <v>7</v>
      </c>
      <c r="E99" s="238">
        <f>37.95*1.1</f>
        <v>41.745000000000005</v>
      </c>
      <c r="F99" s="22">
        <v>86300</v>
      </c>
      <c r="G99" s="22">
        <f>+Tableau82425[[#This Row],[PRIX UNITAIRE (Ar)]]*Tableau82425[[#This Row],[QUANTITE]]</f>
        <v>3602593.5000000005</v>
      </c>
      <c r="I99" s="251"/>
      <c r="J99" s="251"/>
      <c r="K99" s="251"/>
      <c r="L99" s="251"/>
      <c r="M99" s="251"/>
      <c r="N99" s="251"/>
      <c r="O99" s="251"/>
      <c r="Q99" s="265"/>
      <c r="R99" s="265"/>
      <c r="S99" s="265"/>
      <c r="T99" s="265"/>
      <c r="U99" s="265"/>
      <c r="V99" s="265"/>
    </row>
    <row r="100" spans="1:22" s="2" customFormat="1" ht="34.200000000000003" x14ac:dyDescent="0.25">
      <c r="A100" s="13" t="s">
        <v>284</v>
      </c>
      <c r="B100" s="74" t="s">
        <v>283</v>
      </c>
      <c r="C100" s="103" t="s">
        <v>379</v>
      </c>
      <c r="D100" s="16" t="s">
        <v>7</v>
      </c>
      <c r="E100" s="238">
        <v>191.667</v>
      </c>
      <c r="F100" s="22">
        <v>85000</v>
      </c>
      <c r="G100" s="22">
        <f>+Tableau82425[[#This Row],[PRIX UNITAIRE (Ar)]]*Tableau82425[[#This Row],[QUANTITE]]</f>
        <v>16291695</v>
      </c>
      <c r="I100" s="251"/>
      <c r="J100" s="251"/>
      <c r="K100" s="251"/>
      <c r="L100" s="251"/>
      <c r="M100" s="251"/>
      <c r="N100" s="251"/>
      <c r="O100" s="251"/>
      <c r="Q100" s="265"/>
      <c r="R100" s="265"/>
      <c r="S100" s="265"/>
      <c r="T100" s="265"/>
      <c r="U100" s="265"/>
      <c r="V100" s="265"/>
    </row>
    <row r="101" spans="1:22" s="2" customFormat="1" ht="34.200000000000003" x14ac:dyDescent="0.25">
      <c r="A101" s="13" t="s">
        <v>285</v>
      </c>
      <c r="B101" s="74" t="s">
        <v>328</v>
      </c>
      <c r="C101" s="103" t="s">
        <v>887</v>
      </c>
      <c r="D101" s="16" t="s">
        <v>7</v>
      </c>
      <c r="E101" s="238">
        <v>27.457500000000003</v>
      </c>
      <c r="F101" s="22">
        <v>98500</v>
      </c>
      <c r="G101" s="22">
        <f>+Tableau82425[[#This Row],[PRIX UNITAIRE (Ar)]]*Tableau82425[[#This Row],[QUANTITE]]</f>
        <v>2704563.7500000005</v>
      </c>
      <c r="I101" s="251"/>
      <c r="J101" s="251">
        <v>3.1</v>
      </c>
      <c r="K101" s="251">
        <v>2.8</v>
      </c>
      <c r="L101" s="251">
        <f>+K101*J101</f>
        <v>8.68</v>
      </c>
      <c r="M101" s="251">
        <v>5356000</v>
      </c>
      <c r="N101" s="251">
        <f>+M101/L101</f>
        <v>617050.69124423969</v>
      </c>
      <c r="O101" s="251"/>
      <c r="Q101" s="265"/>
      <c r="R101" s="265"/>
      <c r="S101" s="265"/>
      <c r="T101" s="265"/>
      <c r="U101" s="265"/>
      <c r="V101" s="265"/>
    </row>
    <row r="102" spans="1:22" s="2" customFormat="1" ht="22.8" x14ac:dyDescent="0.25">
      <c r="A102" s="13" t="s">
        <v>286</v>
      </c>
      <c r="B102" s="74" t="s">
        <v>519</v>
      </c>
      <c r="C102" s="103" t="s">
        <v>520</v>
      </c>
      <c r="D102" s="16" t="s">
        <v>7</v>
      </c>
      <c r="E102" s="238">
        <v>213.2235</v>
      </c>
      <c r="F102" s="22">
        <v>85000</v>
      </c>
      <c r="G102" s="22">
        <f>+Tableau82425[[#This Row],[PRIX UNITAIRE (Ar)]]*Tableau82425[[#This Row],[QUANTITE]]</f>
        <v>18123997.5</v>
      </c>
      <c r="H102" s="273"/>
      <c r="I102" s="251"/>
      <c r="J102" s="251">
        <v>3.1</v>
      </c>
      <c r="K102" s="251">
        <v>7.74</v>
      </c>
      <c r="L102" s="251">
        <f>+K102*J102</f>
        <v>23.994</v>
      </c>
      <c r="M102" s="251">
        <f>+L102*N101</f>
        <v>14805514.285714287</v>
      </c>
      <c r="N102" s="251">
        <f>+M102*1.3</f>
        <v>19247168.571428575</v>
      </c>
      <c r="O102" s="251"/>
      <c r="Q102" s="265"/>
      <c r="R102" s="265"/>
      <c r="S102" s="265"/>
      <c r="T102" s="265"/>
      <c r="U102" s="265"/>
      <c r="V102" s="265"/>
    </row>
    <row r="103" spans="1:22" s="2" customFormat="1" ht="34.200000000000003" x14ac:dyDescent="0.25">
      <c r="A103" s="13" t="s">
        <v>657</v>
      </c>
      <c r="B103" s="244" t="s">
        <v>924</v>
      </c>
      <c r="C103" s="103" t="s">
        <v>520</v>
      </c>
      <c r="D103" s="16" t="s">
        <v>382</v>
      </c>
      <c r="E103" s="238">
        <v>1</v>
      </c>
      <c r="F103" s="22">
        <f>3872000*1.3</f>
        <v>5033600</v>
      </c>
      <c r="G103" s="22">
        <f>+Tableau82425[[#This Row],[PRIX UNITAIRE (Ar)]]*Tableau82425[[#This Row],[QUANTITE]]</f>
        <v>5033600</v>
      </c>
      <c r="I103" s="251"/>
      <c r="J103" s="251"/>
      <c r="K103" s="251"/>
      <c r="L103" s="251"/>
      <c r="M103" s="251">
        <v>20134400</v>
      </c>
      <c r="N103" s="251"/>
      <c r="O103" s="251"/>
      <c r="Q103" s="265"/>
      <c r="R103" s="265"/>
      <c r="S103" s="265"/>
      <c r="T103" s="265"/>
      <c r="U103" s="265"/>
      <c r="V103" s="265"/>
    </row>
    <row r="104" spans="1:22" s="2" customFormat="1" ht="57" x14ac:dyDescent="0.25">
      <c r="A104" s="13" t="s">
        <v>658</v>
      </c>
      <c r="B104" s="154" t="s">
        <v>927</v>
      </c>
      <c r="C104" s="192" t="s">
        <v>335</v>
      </c>
      <c r="D104" s="16" t="s">
        <v>382</v>
      </c>
      <c r="E104" s="238">
        <v>1</v>
      </c>
      <c r="F104" s="22">
        <f>3872000*1.25</f>
        <v>4840000</v>
      </c>
      <c r="G104" s="22">
        <f>+Tableau82425[[#This Row],[PRIX UNITAIRE (Ar)]]*Tableau82425[[#This Row],[QUANTITE]]</f>
        <v>4840000</v>
      </c>
      <c r="I104" s="251"/>
      <c r="J104" s="251"/>
      <c r="K104" s="251"/>
      <c r="L104" s="251"/>
      <c r="M104" s="251"/>
      <c r="N104" s="251"/>
      <c r="O104" s="251"/>
      <c r="Q104" s="265"/>
      <c r="R104" s="265"/>
      <c r="S104" s="265"/>
      <c r="T104" s="265"/>
      <c r="U104" s="265"/>
      <c r="V104" s="265"/>
    </row>
    <row r="105" spans="1:22" s="2" customFormat="1" ht="57" x14ac:dyDescent="0.25">
      <c r="A105" s="13" t="s">
        <v>301</v>
      </c>
      <c r="B105" s="154" t="s">
        <v>928</v>
      </c>
      <c r="C105" s="192" t="s">
        <v>335</v>
      </c>
      <c r="D105" s="16" t="s">
        <v>382</v>
      </c>
      <c r="E105" s="238">
        <v>1</v>
      </c>
      <c r="F105" s="22">
        <f>4444000*1.25</f>
        <v>5555000</v>
      </c>
      <c r="G105" s="22">
        <f>+Tableau82425[[#This Row],[PRIX UNITAIRE (Ar)]]*Tableau82425[[#This Row],[QUANTITE]]</f>
        <v>5555000</v>
      </c>
      <c r="I105" s="251"/>
      <c r="J105" s="251"/>
      <c r="K105" s="251"/>
      <c r="L105" s="251"/>
      <c r="M105" s="251"/>
      <c r="N105" s="251"/>
      <c r="O105" s="251"/>
      <c r="Q105" s="265"/>
      <c r="R105" s="265"/>
      <c r="S105" s="265"/>
      <c r="T105" s="265"/>
      <c r="U105" s="265"/>
      <c r="V105" s="265"/>
    </row>
    <row r="106" spans="1:22" s="2" customFormat="1" ht="45.6" x14ac:dyDescent="0.25">
      <c r="A106" s="13" t="s">
        <v>925</v>
      </c>
      <c r="B106" s="244" t="s">
        <v>937</v>
      </c>
      <c r="C106" s="103" t="s">
        <v>520</v>
      </c>
      <c r="D106" s="16" t="s">
        <v>382</v>
      </c>
      <c r="E106" s="238">
        <v>1</v>
      </c>
      <c r="F106" s="22">
        <f>3872000*1.3</f>
        <v>5033600</v>
      </c>
      <c r="G106" s="22">
        <f>+Tableau82425[[#This Row],[PRIX UNITAIRE (Ar)]]*Tableau82425[[#This Row],[QUANTITE]]</f>
        <v>5033600</v>
      </c>
      <c r="I106" s="251"/>
      <c r="J106" s="251"/>
      <c r="K106" s="251"/>
      <c r="L106" s="251"/>
      <c r="M106" s="251"/>
      <c r="N106" s="251"/>
      <c r="O106" s="251"/>
      <c r="Q106" s="265"/>
      <c r="R106" s="265"/>
      <c r="S106" s="265"/>
      <c r="T106" s="265"/>
      <c r="U106" s="265"/>
      <c r="V106" s="265"/>
    </row>
    <row r="107" spans="1:22" s="2" customFormat="1" ht="45.6" x14ac:dyDescent="0.25">
      <c r="A107" s="13" t="s">
        <v>926</v>
      </c>
      <c r="B107" s="244" t="s">
        <v>938</v>
      </c>
      <c r="C107" s="103" t="s">
        <v>520</v>
      </c>
      <c r="D107" s="16" t="s">
        <v>382</v>
      </c>
      <c r="E107" s="238">
        <v>1</v>
      </c>
      <c r="F107" s="22">
        <f>4444000*1.3</f>
        <v>5777200</v>
      </c>
      <c r="G107" s="22">
        <f>+Tableau82425[[#This Row],[PRIX UNITAIRE (Ar)]]*Tableau82425[[#This Row],[QUANTITE]]</f>
        <v>5777200</v>
      </c>
      <c r="I107" s="251"/>
      <c r="J107" s="251"/>
      <c r="K107" s="251"/>
      <c r="L107" s="251"/>
      <c r="M107" s="251"/>
      <c r="N107" s="251"/>
      <c r="O107" s="251"/>
      <c r="Q107" s="265"/>
      <c r="R107" s="265"/>
      <c r="S107" s="265"/>
      <c r="T107" s="265"/>
      <c r="U107" s="265"/>
      <c r="V107" s="265"/>
    </row>
    <row r="108" spans="1:22" s="2" customFormat="1" ht="45.6" x14ac:dyDescent="0.25">
      <c r="A108" s="13" t="s">
        <v>934</v>
      </c>
      <c r="B108" s="244" t="s">
        <v>939</v>
      </c>
      <c r="C108" s="103" t="s">
        <v>520</v>
      </c>
      <c r="D108" s="16" t="s">
        <v>382</v>
      </c>
      <c r="E108" s="238">
        <v>1</v>
      </c>
      <c r="F108" s="22">
        <f>14950000*1.25</f>
        <v>18687500</v>
      </c>
      <c r="G108" s="22">
        <f>+Tableau82425[[#This Row],[PRIX UNITAIRE (Ar)]]*Tableau82425[[#This Row],[QUANTITE]]</f>
        <v>18687500</v>
      </c>
      <c r="I108" s="251"/>
      <c r="J108" s="251"/>
      <c r="K108" s="251"/>
      <c r="L108" s="251"/>
      <c r="M108" s="251"/>
      <c r="N108" s="251"/>
      <c r="O108" s="251"/>
      <c r="Q108" s="265"/>
      <c r="R108" s="265"/>
      <c r="S108" s="265"/>
      <c r="T108" s="265"/>
      <c r="U108" s="265"/>
      <c r="V108" s="265"/>
    </row>
    <row r="109" spans="1:22" s="2" customFormat="1" ht="68.400000000000006" x14ac:dyDescent="0.25">
      <c r="A109" s="13" t="s">
        <v>935</v>
      </c>
      <c r="B109" s="10" t="s">
        <v>423</v>
      </c>
      <c r="C109" s="8" t="s">
        <v>337</v>
      </c>
      <c r="D109" s="16" t="s">
        <v>7</v>
      </c>
      <c r="E109" s="238">
        <f>+METRE!M958</f>
        <v>71.239999999999995</v>
      </c>
      <c r="F109" s="22">
        <v>198000</v>
      </c>
      <c r="G109" s="22">
        <f>+Tableau82425[[#This Row],[PRIX UNITAIRE (Ar)]]*Tableau82425[[#This Row],[QUANTITE]]</f>
        <v>14105519.999999998</v>
      </c>
      <c r="I109" s="251"/>
      <c r="J109" s="251"/>
      <c r="K109" s="251"/>
      <c r="L109" s="251"/>
      <c r="M109" s="251"/>
      <c r="N109" s="251"/>
      <c r="O109" s="251"/>
      <c r="Q109" s="265"/>
      <c r="R109" s="265"/>
      <c r="S109" s="265"/>
      <c r="T109" s="265"/>
      <c r="U109" s="265"/>
      <c r="V109" s="265"/>
    </row>
    <row r="110" spans="1:22" s="2" customFormat="1" ht="68.400000000000006" x14ac:dyDescent="0.25">
      <c r="A110" s="13" t="s">
        <v>936</v>
      </c>
      <c r="B110" s="10" t="s">
        <v>644</v>
      </c>
      <c r="C110" s="8" t="s">
        <v>645</v>
      </c>
      <c r="D110" s="16" t="s">
        <v>7</v>
      </c>
      <c r="E110" s="238">
        <f>+METRE!M980</f>
        <v>30.29</v>
      </c>
      <c r="F110" s="22">
        <v>201500</v>
      </c>
      <c r="G110" s="22">
        <f>+Tableau82425[[#This Row],[PRIX UNITAIRE (Ar)]]*Tableau82425[[#This Row],[QUANTITE]]</f>
        <v>6103435</v>
      </c>
      <c r="I110" s="251"/>
      <c r="J110" s="251"/>
      <c r="K110" s="251"/>
      <c r="L110" s="251"/>
      <c r="M110" s="251"/>
      <c r="N110" s="251"/>
      <c r="O110" s="251"/>
      <c r="Q110" s="265"/>
      <c r="R110" s="265"/>
      <c r="S110" s="265"/>
      <c r="T110" s="265"/>
      <c r="U110" s="265"/>
      <c r="V110" s="265"/>
    </row>
    <row r="111" spans="1:22" s="2" customFormat="1" ht="21" customHeight="1" x14ac:dyDescent="0.25">
      <c r="A111" s="7" t="s">
        <v>27</v>
      </c>
      <c r="B111" s="8" t="s">
        <v>955</v>
      </c>
      <c r="C111" s="192"/>
      <c r="D111" s="16"/>
      <c r="E111" s="237"/>
      <c r="F111" s="231"/>
      <c r="G111" s="25">
        <f>+SUM(G112:G118)*1.03</f>
        <v>49684192.399999999</v>
      </c>
      <c r="I111" s="251"/>
      <c r="J111" s="251"/>
      <c r="K111" s="251"/>
      <c r="L111" s="251"/>
      <c r="M111" s="251"/>
      <c r="N111" s="251"/>
      <c r="O111" s="251"/>
      <c r="Q111" s="265"/>
      <c r="R111" s="265"/>
      <c r="S111" s="265"/>
      <c r="T111" s="265"/>
      <c r="U111" s="265"/>
      <c r="V111" s="265"/>
    </row>
    <row r="112" spans="1:22" s="2" customFormat="1" ht="45.6" x14ac:dyDescent="0.25">
      <c r="A112" s="13" t="s">
        <v>961</v>
      </c>
      <c r="B112" s="154" t="s">
        <v>615</v>
      </c>
      <c r="C112" s="192" t="s">
        <v>614</v>
      </c>
      <c r="D112" s="16" t="s">
        <v>382</v>
      </c>
      <c r="E112" s="238">
        <v>1</v>
      </c>
      <c r="F112" s="22">
        <f>11132000*1.25</f>
        <v>13915000</v>
      </c>
      <c r="G112" s="22">
        <f>+Tableau82425[[#This Row],[PRIX UNITAIRE (Ar)]]*Tableau82425[[#This Row],[QUANTITE]]</f>
        <v>13915000</v>
      </c>
      <c r="I112" s="251"/>
      <c r="J112" s="251"/>
      <c r="K112" s="251"/>
      <c r="L112" s="251"/>
      <c r="M112" s="251"/>
      <c r="N112" s="251"/>
      <c r="O112" s="251"/>
      <c r="Q112" s="265"/>
      <c r="R112" s="265"/>
      <c r="S112" s="265"/>
      <c r="T112" s="265"/>
      <c r="U112" s="265"/>
      <c r="V112" s="265"/>
    </row>
    <row r="113" spans="1:22" s="2" customFormat="1" ht="57" x14ac:dyDescent="0.25">
      <c r="A113" s="13" t="s">
        <v>962</v>
      </c>
      <c r="B113" s="154" t="s">
        <v>918</v>
      </c>
      <c r="C113" s="192" t="s">
        <v>242</v>
      </c>
      <c r="D113" s="16" t="s">
        <v>382</v>
      </c>
      <c r="E113" s="238">
        <v>1</v>
      </c>
      <c r="F113" s="22">
        <f>4432000*1.25</f>
        <v>5540000</v>
      </c>
      <c r="G113" s="22">
        <f>+Tableau82425[[#This Row],[PRIX UNITAIRE (Ar)]]*Tableau82425[[#This Row],[QUANTITE]]</f>
        <v>5540000</v>
      </c>
      <c r="I113" s="251"/>
      <c r="J113" s="251"/>
      <c r="K113" s="251"/>
      <c r="L113" s="251"/>
      <c r="M113" s="251"/>
      <c r="N113" s="251"/>
      <c r="O113" s="251"/>
      <c r="Q113" s="265"/>
      <c r="R113" s="265"/>
      <c r="S113" s="265"/>
      <c r="T113" s="265"/>
      <c r="U113" s="265"/>
      <c r="V113" s="265"/>
    </row>
    <row r="114" spans="1:22" s="2" customFormat="1" ht="57" x14ac:dyDescent="0.25">
      <c r="A114" s="13" t="s">
        <v>963</v>
      </c>
      <c r="B114" s="154" t="s">
        <v>919</v>
      </c>
      <c r="C114" s="192" t="s">
        <v>242</v>
      </c>
      <c r="D114" s="16" t="s">
        <v>382</v>
      </c>
      <c r="E114" s="238">
        <v>1</v>
      </c>
      <c r="F114" s="22">
        <f>2848000*1.28</f>
        <v>3645440</v>
      </c>
      <c r="G114" s="22">
        <f>+Tableau82425[[#This Row],[PRIX UNITAIRE (Ar)]]*Tableau82425[[#This Row],[QUANTITE]]</f>
        <v>3645440</v>
      </c>
      <c r="I114" s="251"/>
      <c r="J114" s="251"/>
      <c r="K114" s="251"/>
      <c r="L114" s="251"/>
      <c r="M114" s="251"/>
      <c r="N114" s="251"/>
      <c r="O114" s="251"/>
      <c r="Q114" s="265"/>
      <c r="R114" s="265"/>
      <c r="S114" s="265"/>
      <c r="T114" s="265"/>
      <c r="U114" s="265"/>
      <c r="V114" s="265"/>
    </row>
    <row r="115" spans="1:22" s="2" customFormat="1" ht="57" x14ac:dyDescent="0.25">
      <c r="A115" s="13" t="s">
        <v>964</v>
      </c>
      <c r="B115" s="154" t="s">
        <v>920</v>
      </c>
      <c r="C115" s="192" t="s">
        <v>242</v>
      </c>
      <c r="D115" s="16" t="s">
        <v>382</v>
      </c>
      <c r="E115" s="238">
        <v>1</v>
      </c>
      <c r="F115" s="22">
        <f>4291000*1.28</f>
        <v>5492480</v>
      </c>
      <c r="G115" s="22">
        <f>+Tableau82425[[#This Row],[PRIX UNITAIRE (Ar)]]*Tableau82425[[#This Row],[QUANTITE]]</f>
        <v>5492480</v>
      </c>
      <c r="I115" s="251"/>
      <c r="J115" s="251"/>
      <c r="K115" s="251"/>
      <c r="L115" s="251"/>
      <c r="M115" s="251"/>
      <c r="N115" s="251"/>
      <c r="O115" s="251"/>
      <c r="Q115" s="265"/>
      <c r="R115" s="265"/>
      <c r="S115" s="265"/>
      <c r="T115" s="265"/>
      <c r="U115" s="265"/>
      <c r="V115" s="265"/>
    </row>
    <row r="116" spans="1:22" s="2" customFormat="1" ht="57" x14ac:dyDescent="0.25">
      <c r="A116" s="13" t="s">
        <v>965</v>
      </c>
      <c r="B116" s="154" t="s">
        <v>917</v>
      </c>
      <c r="C116" s="192" t="s">
        <v>242</v>
      </c>
      <c r="D116" s="16" t="s">
        <v>382</v>
      </c>
      <c r="E116" s="238">
        <v>1</v>
      </c>
      <c r="F116" s="22">
        <f>4551000*1.28</f>
        <v>5825280</v>
      </c>
      <c r="G116" s="22">
        <f>+Tableau82425[[#This Row],[PRIX UNITAIRE (Ar)]]*Tableau82425[[#This Row],[QUANTITE]]</f>
        <v>5825280</v>
      </c>
      <c r="I116" s="251"/>
      <c r="J116" s="251"/>
      <c r="K116" s="251"/>
      <c r="L116" s="251"/>
      <c r="M116" s="251"/>
      <c r="N116" s="251"/>
      <c r="O116" s="251"/>
      <c r="Q116" s="265"/>
      <c r="R116" s="265"/>
      <c r="S116" s="265"/>
      <c r="T116" s="265"/>
      <c r="U116" s="265"/>
      <c r="V116" s="265"/>
    </row>
    <row r="117" spans="1:22" s="2" customFormat="1" ht="57" x14ac:dyDescent="0.25">
      <c r="A117" s="13" t="s">
        <v>966</v>
      </c>
      <c r="B117" s="154" t="s">
        <v>921</v>
      </c>
      <c r="C117" s="192" t="s">
        <v>242</v>
      </c>
      <c r="D117" s="16" t="s">
        <v>382</v>
      </c>
      <c r="E117" s="238">
        <v>1</v>
      </c>
      <c r="F117" s="22">
        <f>5440000*1.28</f>
        <v>6963200</v>
      </c>
      <c r="G117" s="22">
        <f>+Tableau82425[[#This Row],[PRIX UNITAIRE (Ar)]]*Tableau82425[[#This Row],[QUANTITE]]</f>
        <v>6963200</v>
      </c>
      <c r="I117" s="251"/>
      <c r="J117" s="251"/>
      <c r="K117" s="251"/>
      <c r="L117" s="251"/>
      <c r="M117" s="251"/>
      <c r="N117" s="251"/>
      <c r="O117" s="251"/>
      <c r="Q117" s="265"/>
      <c r="R117" s="265"/>
      <c r="S117" s="265"/>
      <c r="T117" s="265"/>
      <c r="U117" s="265"/>
      <c r="V117" s="265"/>
    </row>
    <row r="118" spans="1:22" s="2" customFormat="1" ht="57" x14ac:dyDescent="0.25">
      <c r="A118" s="13" t="s">
        <v>967</v>
      </c>
      <c r="B118" s="154" t="s">
        <v>922</v>
      </c>
      <c r="C118" s="192" t="s">
        <v>242</v>
      </c>
      <c r="D118" s="16" t="s">
        <v>382</v>
      </c>
      <c r="E118" s="238">
        <v>1</v>
      </c>
      <c r="F118" s="22">
        <f>5356000*1.28</f>
        <v>6855680</v>
      </c>
      <c r="G118" s="22">
        <f>+Tableau82425[[#This Row],[PRIX UNITAIRE (Ar)]]*Tableau82425[[#This Row],[QUANTITE]]</f>
        <v>6855680</v>
      </c>
      <c r="I118" s="251"/>
      <c r="J118" s="251"/>
      <c r="K118" s="251"/>
      <c r="L118" s="251"/>
      <c r="M118" s="251"/>
      <c r="N118" s="251"/>
      <c r="O118" s="251"/>
      <c r="Q118" s="265"/>
      <c r="R118" s="265"/>
      <c r="S118" s="265"/>
      <c r="T118" s="265"/>
      <c r="U118" s="265"/>
      <c r="V118" s="265"/>
    </row>
    <row r="119" spans="1:22" s="2" customFormat="1" ht="21" customHeight="1" x14ac:dyDescent="0.25">
      <c r="A119" s="7" t="s">
        <v>28</v>
      </c>
      <c r="B119" s="8" t="s">
        <v>40</v>
      </c>
      <c r="C119" s="8"/>
      <c r="D119" s="16"/>
      <c r="E119" s="237"/>
      <c r="F119" s="231"/>
      <c r="G119" s="25">
        <f>+SUM(G120:G130)*1.03</f>
        <v>68859362.5</v>
      </c>
      <c r="I119" s="251"/>
      <c r="J119" s="251"/>
      <c r="K119" s="251"/>
      <c r="L119" s="251"/>
      <c r="M119" s="251"/>
      <c r="N119" s="251"/>
      <c r="O119" s="251"/>
      <c r="Q119" s="265"/>
      <c r="R119" s="265"/>
      <c r="S119" s="265"/>
      <c r="T119" s="265"/>
      <c r="U119" s="265"/>
      <c r="V119" s="265"/>
    </row>
    <row r="120" spans="1:22" s="2" customFormat="1" ht="91.2" x14ac:dyDescent="0.25">
      <c r="A120" s="13" t="s">
        <v>334</v>
      </c>
      <c r="B120" s="154" t="s">
        <v>730</v>
      </c>
      <c r="C120" s="103" t="s">
        <v>731</v>
      </c>
      <c r="D120" s="210" t="s">
        <v>5</v>
      </c>
      <c r="E120" s="249" t="s">
        <v>732</v>
      </c>
      <c r="F120" s="22">
        <f>2257000*1.25</f>
        <v>2821250</v>
      </c>
      <c r="G120" s="22">
        <f>+Tableau82425[[#This Row],[PRIX UNITAIRE (Ar)]]*Tableau82425[[#This Row],[QUANTITE]]</f>
        <v>2821250</v>
      </c>
      <c r="I120" s="251"/>
      <c r="J120" s="251"/>
      <c r="K120" s="251"/>
      <c r="L120" s="251"/>
      <c r="M120" s="251"/>
      <c r="N120" s="251"/>
      <c r="O120" s="251"/>
      <c r="Q120" s="265"/>
      <c r="R120" s="265"/>
      <c r="S120" s="265"/>
      <c r="T120" s="265"/>
      <c r="U120" s="265"/>
      <c r="V120" s="265"/>
    </row>
    <row r="121" spans="1:22" s="2" customFormat="1" ht="91.2" x14ac:dyDescent="0.25">
      <c r="A121" s="13" t="s">
        <v>383</v>
      </c>
      <c r="B121" s="154" t="s">
        <v>734</v>
      </c>
      <c r="C121" s="103" t="s">
        <v>735</v>
      </c>
      <c r="D121" s="210" t="s">
        <v>5</v>
      </c>
      <c r="E121" s="249" t="s">
        <v>736</v>
      </c>
      <c r="F121" s="22">
        <f>2329000*1.25</f>
        <v>2911250</v>
      </c>
      <c r="G121" s="22">
        <f>+Tableau82425[[#This Row],[PRIX UNITAIRE (Ar)]]*Tableau82425[[#This Row],[QUANTITE]]</f>
        <v>17467500</v>
      </c>
      <c r="I121" s="251"/>
      <c r="J121" s="251"/>
      <c r="K121" s="251"/>
      <c r="L121" s="251"/>
      <c r="M121" s="251"/>
      <c r="N121" s="251"/>
      <c r="O121" s="251"/>
      <c r="Q121" s="265"/>
      <c r="R121" s="265"/>
      <c r="S121" s="265"/>
      <c r="T121" s="265"/>
      <c r="U121" s="265"/>
      <c r="V121" s="265"/>
    </row>
    <row r="122" spans="1:22" s="2" customFormat="1" ht="91.2" x14ac:dyDescent="0.25">
      <c r="A122" s="13" t="s">
        <v>384</v>
      </c>
      <c r="B122" s="154" t="s">
        <v>738</v>
      </c>
      <c r="C122" s="103" t="s">
        <v>739</v>
      </c>
      <c r="D122" s="210" t="s">
        <v>5</v>
      </c>
      <c r="E122" s="249" t="s">
        <v>740</v>
      </c>
      <c r="F122" s="22">
        <f>+F121</f>
        <v>2911250</v>
      </c>
      <c r="G122" s="22">
        <f>+Tableau82425[[#This Row],[PRIX UNITAIRE (Ar)]]*Tableau82425[[#This Row],[QUANTITE]]</f>
        <v>11645000</v>
      </c>
      <c r="I122" s="251"/>
      <c r="J122" s="251"/>
      <c r="K122" s="251"/>
      <c r="L122" s="251"/>
      <c r="M122" s="251"/>
      <c r="N122" s="251"/>
      <c r="O122" s="251"/>
      <c r="Q122" s="265"/>
      <c r="R122" s="265"/>
      <c r="S122" s="265"/>
      <c r="T122" s="265"/>
      <c r="U122" s="265"/>
      <c r="V122" s="265"/>
    </row>
    <row r="123" spans="1:22" s="2" customFormat="1" ht="91.2" x14ac:dyDescent="0.25">
      <c r="A123" s="13" t="s">
        <v>929</v>
      </c>
      <c r="B123" s="154" t="s">
        <v>742</v>
      </c>
      <c r="C123" s="103" t="s">
        <v>743</v>
      </c>
      <c r="D123" s="210" t="s">
        <v>5</v>
      </c>
      <c r="E123" s="249" t="s">
        <v>732</v>
      </c>
      <c r="F123" s="22">
        <f>2628000*1.25</f>
        <v>3285000</v>
      </c>
      <c r="G123" s="22">
        <f>+Tableau82425[[#This Row],[PRIX UNITAIRE (Ar)]]*Tableau82425[[#This Row],[QUANTITE]]</f>
        <v>3285000</v>
      </c>
      <c r="I123" s="251"/>
      <c r="J123" s="251"/>
      <c r="K123" s="251"/>
      <c r="L123" s="251"/>
      <c r="M123" s="251"/>
      <c r="N123" s="251"/>
      <c r="O123" s="251"/>
      <c r="Q123" s="265"/>
      <c r="R123" s="265"/>
      <c r="S123" s="265"/>
      <c r="T123" s="265"/>
      <c r="U123" s="265"/>
      <c r="V123" s="265"/>
    </row>
    <row r="124" spans="1:22" s="2" customFormat="1" ht="114" x14ac:dyDescent="0.25">
      <c r="A124" s="13" t="s">
        <v>930</v>
      </c>
      <c r="B124" s="154" t="s">
        <v>899</v>
      </c>
      <c r="C124" s="192" t="s">
        <v>745</v>
      </c>
      <c r="D124" s="210" t="s">
        <v>5</v>
      </c>
      <c r="E124" s="249" t="s">
        <v>746</v>
      </c>
      <c r="F124" s="22">
        <f>3396000*1.25</f>
        <v>4245000</v>
      </c>
      <c r="G124" s="22">
        <f>+Tableau82425[[#This Row],[PRIX UNITAIRE (Ar)]]*Tableau82425[[#This Row],[QUANTITE]]</f>
        <v>8490000</v>
      </c>
      <c r="I124" s="251"/>
      <c r="J124" s="251"/>
      <c r="K124" s="251"/>
      <c r="L124" s="251"/>
      <c r="M124" s="251"/>
      <c r="N124" s="251"/>
      <c r="O124" s="251"/>
      <c r="Q124" s="265"/>
      <c r="R124" s="265"/>
      <c r="S124" s="265"/>
      <c r="T124" s="265"/>
      <c r="U124" s="265"/>
      <c r="V124" s="265"/>
    </row>
    <row r="125" spans="1:22" s="2" customFormat="1" ht="91.2" x14ac:dyDescent="0.25">
      <c r="A125" s="13" t="s">
        <v>931</v>
      </c>
      <c r="B125" s="154" t="s">
        <v>748</v>
      </c>
      <c r="C125" s="192" t="s">
        <v>749</v>
      </c>
      <c r="D125" s="210" t="s">
        <v>5</v>
      </c>
      <c r="E125" s="249" t="s">
        <v>732</v>
      </c>
      <c r="F125" s="22">
        <f>2401000*1.25</f>
        <v>3001250</v>
      </c>
      <c r="G125" s="22">
        <f>+Tableau82425[[#This Row],[PRIX UNITAIRE (Ar)]]*Tableau82425[[#This Row],[QUANTITE]]</f>
        <v>3001250</v>
      </c>
      <c r="I125" s="251"/>
      <c r="J125" s="251"/>
      <c r="K125" s="251"/>
      <c r="L125" s="251"/>
      <c r="M125" s="251"/>
      <c r="N125" s="251"/>
      <c r="O125" s="251"/>
      <c r="Q125" s="265"/>
      <c r="R125" s="265"/>
      <c r="S125" s="265"/>
      <c r="T125" s="265"/>
      <c r="U125" s="265"/>
      <c r="V125" s="265"/>
    </row>
    <row r="126" spans="1:22" s="2" customFormat="1" ht="91.2" x14ac:dyDescent="0.25">
      <c r="A126" s="13" t="s">
        <v>932</v>
      </c>
      <c r="B126" s="154" t="s">
        <v>751</v>
      </c>
      <c r="C126" s="192" t="s">
        <v>752</v>
      </c>
      <c r="D126" s="210" t="s">
        <v>5</v>
      </c>
      <c r="E126" s="249" t="s">
        <v>732</v>
      </c>
      <c r="F126" s="22">
        <f>+F125</f>
        <v>3001250</v>
      </c>
      <c r="G126" s="22">
        <f>+Tableau82425[[#This Row],[PRIX UNITAIRE (Ar)]]*Tableau82425[[#This Row],[QUANTITE]]</f>
        <v>3001250</v>
      </c>
      <c r="I126" s="251"/>
      <c r="J126" s="251"/>
      <c r="K126" s="251"/>
      <c r="L126" s="251"/>
      <c r="M126" s="251"/>
      <c r="N126" s="251"/>
      <c r="O126" s="251"/>
      <c r="Q126" s="265"/>
      <c r="R126" s="265"/>
      <c r="S126" s="265"/>
      <c r="T126" s="265"/>
      <c r="U126" s="265"/>
      <c r="V126" s="265"/>
    </row>
    <row r="127" spans="1:22" s="2" customFormat="1" ht="125.4" x14ac:dyDescent="0.25">
      <c r="A127" s="13" t="s">
        <v>933</v>
      </c>
      <c r="B127" s="154" t="s">
        <v>754</v>
      </c>
      <c r="C127" s="192" t="s">
        <v>755</v>
      </c>
      <c r="D127" s="210" t="s">
        <v>5</v>
      </c>
      <c r="E127" s="249" t="s">
        <v>732</v>
      </c>
      <c r="F127" s="22">
        <f>2498000*1.25</f>
        <v>3122500</v>
      </c>
      <c r="G127" s="22">
        <f>+Tableau82425[[#This Row],[PRIX UNITAIRE (Ar)]]*Tableau82425[[#This Row],[QUANTITE]]</f>
        <v>3122500</v>
      </c>
      <c r="I127" s="251"/>
      <c r="J127" s="251"/>
      <c r="K127" s="251"/>
      <c r="L127" s="251"/>
      <c r="M127" s="251"/>
      <c r="N127" s="251"/>
      <c r="O127" s="251"/>
      <c r="Q127" s="265"/>
      <c r="R127" s="265"/>
      <c r="S127" s="265"/>
      <c r="T127" s="265"/>
      <c r="U127" s="265"/>
      <c r="V127" s="265"/>
    </row>
    <row r="128" spans="1:22" s="2" customFormat="1" ht="125.4" x14ac:dyDescent="0.25">
      <c r="A128" s="13" t="s">
        <v>968</v>
      </c>
      <c r="B128" s="154" t="s">
        <v>900</v>
      </c>
      <c r="C128" s="192" t="s">
        <v>757</v>
      </c>
      <c r="D128" s="210" t="s">
        <v>5</v>
      </c>
      <c r="E128" s="249" t="s">
        <v>746</v>
      </c>
      <c r="F128" s="22">
        <f>2760000*1.25</f>
        <v>3450000</v>
      </c>
      <c r="G128" s="22">
        <f>+Tableau82425[[#This Row],[PRIX UNITAIRE (Ar)]]*Tableau82425[[#This Row],[QUANTITE]]</f>
        <v>6900000</v>
      </c>
      <c r="I128" s="251"/>
      <c r="J128" s="251"/>
      <c r="K128" s="251"/>
      <c r="L128" s="251"/>
      <c r="M128" s="251"/>
      <c r="N128" s="251"/>
      <c r="O128" s="251"/>
      <c r="Q128" s="265"/>
      <c r="R128" s="265"/>
      <c r="S128" s="265"/>
      <c r="T128" s="265"/>
      <c r="U128" s="265"/>
      <c r="V128" s="265"/>
    </row>
    <row r="129" spans="1:22" s="2" customFormat="1" ht="125.4" x14ac:dyDescent="0.25">
      <c r="A129" s="13" t="s">
        <v>969</v>
      </c>
      <c r="B129" s="154" t="s">
        <v>901</v>
      </c>
      <c r="C129" s="192" t="s">
        <v>759</v>
      </c>
      <c r="D129" s="210" t="s">
        <v>5</v>
      </c>
      <c r="E129" s="249" t="s">
        <v>732</v>
      </c>
      <c r="F129" s="22">
        <f>+F128</f>
        <v>3450000</v>
      </c>
      <c r="G129" s="22">
        <f>+Tableau82425[[#This Row],[PRIX UNITAIRE (Ar)]]*Tableau82425[[#This Row],[QUANTITE]]</f>
        <v>3450000</v>
      </c>
      <c r="I129" s="251"/>
      <c r="J129" s="251"/>
      <c r="K129" s="251"/>
      <c r="L129" s="251"/>
      <c r="M129" s="251"/>
      <c r="N129" s="251"/>
      <c r="O129" s="251"/>
      <c r="Q129" s="265"/>
      <c r="R129" s="265"/>
      <c r="S129" s="265"/>
      <c r="T129" s="265"/>
      <c r="U129" s="265"/>
      <c r="V129" s="265"/>
    </row>
    <row r="130" spans="1:22" s="2" customFormat="1" ht="125.4" x14ac:dyDescent="0.25">
      <c r="A130" s="13" t="s">
        <v>970</v>
      </c>
      <c r="B130" s="154" t="s">
        <v>761</v>
      </c>
      <c r="C130" s="192" t="s">
        <v>762</v>
      </c>
      <c r="D130" s="210" t="s">
        <v>5</v>
      </c>
      <c r="E130" s="249" t="s">
        <v>732</v>
      </c>
      <c r="F130" s="22">
        <f>2936000*1.25</f>
        <v>3670000</v>
      </c>
      <c r="G130" s="22">
        <f>+Tableau82425[[#This Row],[PRIX UNITAIRE (Ar)]]*Tableau82425[[#This Row],[QUANTITE]]</f>
        <v>3670000</v>
      </c>
      <c r="I130" s="251"/>
      <c r="J130" s="251"/>
      <c r="K130" s="251"/>
      <c r="L130" s="251"/>
      <c r="M130" s="251"/>
      <c r="N130" s="251"/>
      <c r="O130" s="251"/>
      <c r="Q130" s="265"/>
      <c r="R130" s="265"/>
      <c r="S130" s="265"/>
      <c r="T130" s="265"/>
      <c r="U130" s="265"/>
      <c r="V130" s="265"/>
    </row>
    <row r="131" spans="1:22" s="2" customFormat="1" ht="21" customHeight="1" x14ac:dyDescent="0.25">
      <c r="A131" s="7" t="s">
        <v>31</v>
      </c>
      <c r="B131" s="8" t="s">
        <v>41</v>
      </c>
      <c r="C131" s="8"/>
      <c r="D131" s="16"/>
      <c r="E131" s="237"/>
      <c r="F131" s="231"/>
      <c r="G131" s="25">
        <f>+SUM(G132:G178)*1.03</f>
        <v>494887257.98000002</v>
      </c>
      <c r="I131" s="251"/>
      <c r="J131" s="251"/>
      <c r="K131" s="251"/>
      <c r="L131" s="251"/>
      <c r="M131" s="251"/>
      <c r="N131" s="251"/>
      <c r="O131" s="251"/>
      <c r="Q131" s="265"/>
      <c r="R131" s="265"/>
      <c r="S131" s="265"/>
      <c r="T131" s="265"/>
      <c r="U131" s="265"/>
      <c r="V131" s="265"/>
    </row>
    <row r="132" spans="1:22" s="2" customFormat="1" ht="114" x14ac:dyDescent="0.25">
      <c r="A132" s="13" t="s">
        <v>729</v>
      </c>
      <c r="B132" s="211" t="s">
        <v>764</v>
      </c>
      <c r="C132" s="103" t="s">
        <v>765</v>
      </c>
      <c r="D132" s="210" t="s">
        <v>5</v>
      </c>
      <c r="E132" s="241" t="s">
        <v>732</v>
      </c>
      <c r="F132" s="22">
        <v>2660563</v>
      </c>
      <c r="G132" s="22">
        <f>+Tableau82425[[#This Row],[PRIX UNITAIRE (Ar)]]*Tableau82425[[#This Row],[QUANTITE]]</f>
        <v>2660563</v>
      </c>
      <c r="I132" s="251"/>
      <c r="J132" s="251"/>
      <c r="K132" s="251"/>
      <c r="L132" s="251"/>
      <c r="M132" s="251"/>
      <c r="N132" s="251"/>
      <c r="O132" s="251"/>
      <c r="Q132" s="265"/>
      <c r="R132" s="265"/>
      <c r="S132" s="265"/>
      <c r="T132" s="265"/>
      <c r="U132" s="265"/>
      <c r="V132" s="265"/>
    </row>
    <row r="133" spans="1:22" s="2" customFormat="1" ht="182.4" x14ac:dyDescent="0.25">
      <c r="A133" s="13" t="s">
        <v>733</v>
      </c>
      <c r="B133" s="211" t="s">
        <v>767</v>
      </c>
      <c r="C133" s="103" t="s">
        <v>768</v>
      </c>
      <c r="D133" s="210" t="s">
        <v>5</v>
      </c>
      <c r="E133" s="241" t="s">
        <v>732</v>
      </c>
      <c r="F133" s="22">
        <v>7644780</v>
      </c>
      <c r="G133" s="22">
        <f>+Tableau82425[[#This Row],[PRIX UNITAIRE (Ar)]]*Tableau82425[[#This Row],[QUANTITE]]</f>
        <v>7644780</v>
      </c>
      <c r="I133" s="251"/>
      <c r="J133" s="251"/>
      <c r="K133" s="251"/>
      <c r="L133" s="251"/>
      <c r="M133" s="251"/>
      <c r="N133" s="251"/>
      <c r="O133" s="251"/>
      <c r="Q133" s="265"/>
      <c r="R133" s="265"/>
      <c r="S133" s="265"/>
      <c r="T133" s="265"/>
      <c r="U133" s="265"/>
      <c r="V133" s="265"/>
    </row>
    <row r="134" spans="1:22" s="2" customFormat="1" ht="114" x14ac:dyDescent="0.25">
      <c r="A134" s="13" t="s">
        <v>737</v>
      </c>
      <c r="B134" s="211" t="s">
        <v>770</v>
      </c>
      <c r="C134" s="103" t="s">
        <v>771</v>
      </c>
      <c r="D134" s="210" t="s">
        <v>5</v>
      </c>
      <c r="E134" s="241" t="s">
        <v>732</v>
      </c>
      <c r="F134" s="22">
        <v>4034009</v>
      </c>
      <c r="G134" s="22">
        <f>+Tableau82425[[#This Row],[PRIX UNITAIRE (Ar)]]*Tableau82425[[#This Row],[QUANTITE]]</f>
        <v>4034009</v>
      </c>
      <c r="I134" s="251"/>
      <c r="J134" s="251"/>
      <c r="K134" s="251"/>
      <c r="L134" s="251"/>
      <c r="M134" s="251"/>
      <c r="N134" s="251"/>
      <c r="O134" s="251"/>
      <c r="Q134" s="265"/>
      <c r="R134" s="265"/>
      <c r="S134" s="265"/>
      <c r="T134" s="265"/>
      <c r="U134" s="265"/>
      <c r="V134" s="265"/>
    </row>
    <row r="135" spans="1:22" s="2" customFormat="1" ht="193.8" x14ac:dyDescent="0.25">
      <c r="A135" s="13" t="s">
        <v>741</v>
      </c>
      <c r="B135" s="211" t="s">
        <v>773</v>
      </c>
      <c r="C135" s="103" t="s">
        <v>774</v>
      </c>
      <c r="D135" s="210" t="s">
        <v>5</v>
      </c>
      <c r="E135" s="241" t="s">
        <v>732</v>
      </c>
      <c r="F135" s="22">
        <v>5522084</v>
      </c>
      <c r="G135" s="22">
        <f>+Tableau82425[[#This Row],[PRIX UNITAIRE (Ar)]]*Tableau82425[[#This Row],[QUANTITE]]</f>
        <v>5522084</v>
      </c>
      <c r="I135" s="251"/>
      <c r="J135" s="251"/>
      <c r="K135" s="251"/>
      <c r="L135" s="251"/>
      <c r="M135" s="251"/>
      <c r="N135" s="251"/>
      <c r="O135" s="251"/>
      <c r="Q135" s="265"/>
      <c r="R135" s="265"/>
      <c r="S135" s="265"/>
      <c r="T135" s="265"/>
      <c r="U135" s="265"/>
      <c r="V135" s="265"/>
    </row>
    <row r="136" spans="1:22" s="2" customFormat="1" ht="125.4" x14ac:dyDescent="0.25">
      <c r="A136" s="13" t="s">
        <v>744</v>
      </c>
      <c r="B136" s="212" t="s">
        <v>776</v>
      </c>
      <c r="C136" s="103" t="s">
        <v>777</v>
      </c>
      <c r="D136" s="210" t="s">
        <v>5</v>
      </c>
      <c r="E136" s="241" t="s">
        <v>732</v>
      </c>
      <c r="F136" s="22">
        <v>4798896</v>
      </c>
      <c r="G136" s="22">
        <f>+Tableau82425[[#This Row],[PRIX UNITAIRE (Ar)]]*Tableau82425[[#This Row],[QUANTITE]]</f>
        <v>4798896</v>
      </c>
      <c r="I136" s="251"/>
      <c r="J136" s="251"/>
      <c r="K136" s="251"/>
      <c r="L136" s="251"/>
      <c r="M136" s="251"/>
      <c r="N136" s="251"/>
      <c r="O136" s="251"/>
      <c r="Q136" s="265"/>
      <c r="R136" s="265"/>
      <c r="S136" s="265"/>
      <c r="T136" s="265"/>
      <c r="U136" s="265"/>
      <c r="V136" s="265"/>
    </row>
    <row r="137" spans="1:22" s="2" customFormat="1" ht="125.4" x14ac:dyDescent="0.25">
      <c r="A137" s="13" t="s">
        <v>747</v>
      </c>
      <c r="B137" s="212" t="s">
        <v>779</v>
      </c>
      <c r="C137" s="103" t="s">
        <v>780</v>
      </c>
      <c r="D137" s="210" t="s">
        <v>5</v>
      </c>
      <c r="E137" s="241" t="s">
        <v>732</v>
      </c>
      <c r="F137" s="22">
        <v>6005970</v>
      </c>
      <c r="G137" s="22">
        <f>+Tableau82425[[#This Row],[PRIX UNITAIRE (Ar)]]*Tableau82425[[#This Row],[QUANTITE]]</f>
        <v>6005970</v>
      </c>
      <c r="I137" s="251"/>
      <c r="J137" s="251"/>
      <c r="K137" s="251"/>
      <c r="L137" s="251"/>
      <c r="M137" s="251"/>
      <c r="N137" s="251"/>
      <c r="O137" s="251"/>
      <c r="Q137" s="265"/>
      <c r="R137" s="265"/>
      <c r="S137" s="265"/>
      <c r="T137" s="265"/>
      <c r="U137" s="265"/>
      <c r="V137" s="265"/>
    </row>
    <row r="138" spans="1:22" s="2" customFormat="1" ht="114" x14ac:dyDescent="0.25">
      <c r="A138" s="13" t="s">
        <v>750</v>
      </c>
      <c r="B138" s="212" t="s">
        <v>782</v>
      </c>
      <c r="C138" s="103" t="s">
        <v>783</v>
      </c>
      <c r="D138" s="210" t="s">
        <v>5</v>
      </c>
      <c r="E138" s="241" t="s">
        <v>732</v>
      </c>
      <c r="F138" s="22">
        <v>2598397</v>
      </c>
      <c r="G138" s="22">
        <f>+Tableau82425[[#This Row],[PRIX UNITAIRE (Ar)]]*Tableau82425[[#This Row],[QUANTITE]]</f>
        <v>2598397</v>
      </c>
      <c r="I138" s="251"/>
      <c r="J138" s="251"/>
      <c r="K138" s="251"/>
      <c r="L138" s="251"/>
      <c r="M138" s="251"/>
      <c r="N138" s="251"/>
      <c r="O138" s="251"/>
      <c r="Q138" s="265"/>
      <c r="R138" s="265"/>
      <c r="S138" s="265"/>
      <c r="T138" s="265"/>
      <c r="U138" s="265"/>
      <c r="V138" s="265"/>
    </row>
    <row r="139" spans="1:22" s="2" customFormat="1" ht="136.80000000000001" x14ac:dyDescent="0.25">
      <c r="A139" s="13" t="s">
        <v>753</v>
      </c>
      <c r="B139" s="212" t="s">
        <v>785</v>
      </c>
      <c r="C139" s="103" t="s">
        <v>786</v>
      </c>
      <c r="D139" s="210" t="s">
        <v>5</v>
      </c>
      <c r="E139" s="241" t="s">
        <v>732</v>
      </c>
      <c r="F139" s="22">
        <v>4818047</v>
      </c>
      <c r="G139" s="22">
        <f>+Tableau82425[[#This Row],[PRIX UNITAIRE (Ar)]]*Tableau82425[[#This Row],[QUANTITE]]</f>
        <v>4818047</v>
      </c>
      <c r="I139" s="251"/>
      <c r="J139" s="251"/>
      <c r="K139" s="251"/>
      <c r="L139" s="251"/>
      <c r="M139" s="251"/>
      <c r="N139" s="251"/>
      <c r="O139" s="251"/>
      <c r="Q139" s="265"/>
      <c r="R139" s="265"/>
      <c r="S139" s="265"/>
      <c r="T139" s="265"/>
      <c r="U139" s="265"/>
      <c r="V139" s="265"/>
    </row>
    <row r="140" spans="1:22" s="2" customFormat="1" ht="148.19999999999999" x14ac:dyDescent="0.25">
      <c r="A140" s="13" t="s">
        <v>756</v>
      </c>
      <c r="B140" s="212" t="s">
        <v>788</v>
      </c>
      <c r="C140" s="103" t="s">
        <v>789</v>
      </c>
      <c r="D140" s="210" t="s">
        <v>5</v>
      </c>
      <c r="E140" s="241" t="s">
        <v>732</v>
      </c>
      <c r="F140" s="22">
        <v>9186991</v>
      </c>
      <c r="G140" s="22">
        <f>+Tableau82425[[#This Row],[PRIX UNITAIRE (Ar)]]*Tableau82425[[#This Row],[QUANTITE]]</f>
        <v>9186991</v>
      </c>
      <c r="I140" s="251"/>
      <c r="J140" s="251"/>
      <c r="K140" s="251"/>
      <c r="L140" s="251"/>
      <c r="M140" s="251"/>
      <c r="N140" s="251"/>
      <c r="O140" s="251"/>
      <c r="Q140" s="265"/>
      <c r="R140" s="265"/>
      <c r="S140" s="265"/>
      <c r="T140" s="265"/>
      <c r="U140" s="265"/>
      <c r="V140" s="265"/>
    </row>
    <row r="141" spans="1:22" s="2" customFormat="1" ht="159.6" x14ac:dyDescent="0.25">
      <c r="A141" s="13" t="s">
        <v>758</v>
      </c>
      <c r="B141" s="212" t="s">
        <v>791</v>
      </c>
      <c r="C141" s="103" t="s">
        <v>792</v>
      </c>
      <c r="D141" s="210" t="s">
        <v>5</v>
      </c>
      <c r="E141" s="241" t="s">
        <v>793</v>
      </c>
      <c r="F141" s="22">
        <v>1557421</v>
      </c>
      <c r="G141" s="22">
        <f>+Tableau82425[[#This Row],[PRIX UNITAIRE (Ar)]]*Tableau82425[[#This Row],[QUANTITE]]</f>
        <v>21803894</v>
      </c>
      <c r="I141" s="251"/>
      <c r="J141" s="251"/>
      <c r="K141" s="251"/>
      <c r="L141" s="251"/>
      <c r="M141" s="251"/>
      <c r="N141" s="251"/>
      <c r="O141" s="251"/>
      <c r="Q141" s="265"/>
      <c r="R141" s="265"/>
      <c r="S141" s="265"/>
      <c r="T141" s="265"/>
      <c r="U141" s="265"/>
      <c r="V141" s="265"/>
    </row>
    <row r="142" spans="1:22" s="2" customFormat="1" ht="136.80000000000001" x14ac:dyDescent="0.25">
      <c r="A142" s="13" t="s">
        <v>760</v>
      </c>
      <c r="B142" s="212" t="s">
        <v>795</v>
      </c>
      <c r="C142" s="103" t="s">
        <v>796</v>
      </c>
      <c r="D142" s="210" t="s">
        <v>5</v>
      </c>
      <c r="E142" s="241" t="s">
        <v>736</v>
      </c>
      <c r="F142" s="22">
        <v>828411</v>
      </c>
      <c r="G142" s="22">
        <f>+Tableau82425[[#This Row],[PRIX UNITAIRE (Ar)]]*Tableau82425[[#This Row],[QUANTITE]]</f>
        <v>4970466</v>
      </c>
      <c r="I142" s="251"/>
      <c r="J142" s="251"/>
      <c r="K142" s="251"/>
      <c r="L142" s="251"/>
      <c r="M142" s="251"/>
      <c r="N142" s="251"/>
      <c r="O142" s="251"/>
      <c r="Q142" s="265"/>
      <c r="R142" s="265"/>
      <c r="S142" s="265"/>
      <c r="T142" s="265"/>
      <c r="U142" s="265"/>
      <c r="V142" s="265"/>
    </row>
    <row r="143" spans="1:22" s="2" customFormat="1" ht="159.6" x14ac:dyDescent="0.25">
      <c r="A143" s="13" t="s">
        <v>971</v>
      </c>
      <c r="B143" s="212" t="s">
        <v>798</v>
      </c>
      <c r="C143" s="103" t="s">
        <v>799</v>
      </c>
      <c r="D143" s="210" t="s">
        <v>5</v>
      </c>
      <c r="E143" s="241" t="s">
        <v>732</v>
      </c>
      <c r="F143" s="22">
        <v>4167527</v>
      </c>
      <c r="G143" s="22">
        <f>+Tableau82425[[#This Row],[PRIX UNITAIRE (Ar)]]*Tableau82425[[#This Row],[QUANTITE]]</f>
        <v>4167527</v>
      </c>
      <c r="I143" s="251"/>
      <c r="J143" s="251"/>
      <c r="K143" s="251"/>
      <c r="L143" s="251"/>
      <c r="M143" s="251"/>
      <c r="N143" s="251"/>
      <c r="O143" s="251"/>
      <c r="Q143" s="265"/>
      <c r="R143" s="265"/>
      <c r="S143" s="265"/>
      <c r="T143" s="265"/>
      <c r="U143" s="265"/>
      <c r="V143" s="265"/>
    </row>
    <row r="144" spans="1:22" s="2" customFormat="1" ht="148.19999999999999" x14ac:dyDescent="0.25">
      <c r="A144" s="13" t="s">
        <v>972</v>
      </c>
      <c r="B144" s="212" t="s">
        <v>801</v>
      </c>
      <c r="C144" s="103" t="s">
        <v>802</v>
      </c>
      <c r="D144" s="210" t="s">
        <v>5</v>
      </c>
      <c r="E144" s="241" t="s">
        <v>732</v>
      </c>
      <c r="F144" s="22">
        <v>2356025</v>
      </c>
      <c r="G144" s="22">
        <f>+Tableau82425[[#This Row],[PRIX UNITAIRE (Ar)]]*Tableau82425[[#This Row],[QUANTITE]]</f>
        <v>2356025</v>
      </c>
      <c r="I144" s="251"/>
      <c r="J144" s="251"/>
      <c r="K144" s="251"/>
      <c r="L144" s="251"/>
      <c r="M144" s="251"/>
      <c r="N144" s="251"/>
      <c r="O144" s="251"/>
      <c r="Q144" s="265"/>
      <c r="R144" s="265"/>
      <c r="S144" s="265"/>
      <c r="T144" s="265"/>
      <c r="U144" s="265"/>
      <c r="V144" s="265"/>
    </row>
    <row r="145" spans="1:22" s="2" customFormat="1" ht="125.4" x14ac:dyDescent="0.25">
      <c r="A145" s="13" t="s">
        <v>973</v>
      </c>
      <c r="B145" s="212" t="s">
        <v>804</v>
      </c>
      <c r="C145" s="103" t="s">
        <v>805</v>
      </c>
      <c r="D145" s="210" t="s">
        <v>5</v>
      </c>
      <c r="E145" s="241" t="s">
        <v>740</v>
      </c>
      <c r="F145" s="22">
        <v>8461340</v>
      </c>
      <c r="G145" s="22">
        <f>+Tableau82425[[#This Row],[PRIX UNITAIRE (Ar)]]*Tableau82425[[#This Row],[QUANTITE]]</f>
        <v>33845360</v>
      </c>
      <c r="I145" s="251"/>
      <c r="J145" s="251"/>
      <c r="K145" s="251"/>
      <c r="L145" s="251"/>
      <c r="M145" s="251"/>
      <c r="N145" s="251"/>
      <c r="O145" s="251"/>
      <c r="Q145" s="265"/>
      <c r="R145" s="265"/>
      <c r="S145" s="265"/>
      <c r="T145" s="265"/>
      <c r="U145" s="265"/>
      <c r="V145" s="265"/>
    </row>
    <row r="146" spans="1:22" s="2" customFormat="1" ht="114" x14ac:dyDescent="0.25">
      <c r="A146" s="13" t="s">
        <v>974</v>
      </c>
      <c r="B146" s="212" t="s">
        <v>807</v>
      </c>
      <c r="C146" s="103" t="s">
        <v>808</v>
      </c>
      <c r="D146" s="210" t="s">
        <v>5</v>
      </c>
      <c r="E146" s="241" t="s">
        <v>746</v>
      </c>
      <c r="F146" s="22">
        <v>2302128</v>
      </c>
      <c r="G146" s="22">
        <f>+Tableau82425[[#This Row],[PRIX UNITAIRE (Ar)]]*Tableau82425[[#This Row],[QUANTITE]]</f>
        <v>4604256</v>
      </c>
      <c r="I146" s="251"/>
      <c r="J146" s="251"/>
      <c r="K146" s="251"/>
      <c r="L146" s="251"/>
      <c r="M146" s="251"/>
      <c r="N146" s="251"/>
      <c r="O146" s="251"/>
      <c r="Q146" s="265"/>
      <c r="R146" s="265"/>
      <c r="S146" s="265"/>
      <c r="T146" s="265"/>
      <c r="U146" s="265"/>
      <c r="V146" s="265"/>
    </row>
    <row r="147" spans="1:22" s="2" customFormat="1" ht="114" x14ac:dyDescent="0.25">
      <c r="A147" s="13" t="s">
        <v>975</v>
      </c>
      <c r="B147" s="212" t="s">
        <v>810</v>
      </c>
      <c r="C147" s="103" t="s">
        <v>811</v>
      </c>
      <c r="D147" s="210" t="s">
        <v>5</v>
      </c>
      <c r="E147" s="241" t="s">
        <v>746</v>
      </c>
      <c r="F147" s="22">
        <v>2582934</v>
      </c>
      <c r="G147" s="22">
        <f>+Tableau82425[[#This Row],[PRIX UNITAIRE (Ar)]]*Tableau82425[[#This Row],[QUANTITE]]</f>
        <v>5165868</v>
      </c>
      <c r="I147" s="251"/>
      <c r="J147" s="251"/>
      <c r="K147" s="251"/>
      <c r="L147" s="251"/>
      <c r="M147" s="251"/>
      <c r="N147" s="251"/>
      <c r="O147" s="251"/>
      <c r="Q147" s="265"/>
      <c r="R147" s="265"/>
      <c r="S147" s="265"/>
      <c r="T147" s="265"/>
      <c r="U147" s="265"/>
      <c r="V147" s="265"/>
    </row>
    <row r="148" spans="1:22" s="2" customFormat="1" ht="125.4" x14ac:dyDescent="0.25">
      <c r="A148" s="13" t="s">
        <v>976</v>
      </c>
      <c r="B148" s="212" t="s">
        <v>813</v>
      </c>
      <c r="C148" s="182" t="s">
        <v>814</v>
      </c>
      <c r="D148" s="210" t="s">
        <v>5</v>
      </c>
      <c r="E148" s="241" t="s">
        <v>732</v>
      </c>
      <c r="F148" s="22">
        <v>8214993</v>
      </c>
      <c r="G148" s="22">
        <f>+Tableau82425[[#This Row],[PRIX UNITAIRE (Ar)]]*Tableau82425[[#This Row],[QUANTITE]]</f>
        <v>8214993</v>
      </c>
      <c r="I148" s="251"/>
      <c r="J148" s="251"/>
      <c r="K148" s="251"/>
      <c r="L148" s="251"/>
      <c r="M148" s="251"/>
      <c r="N148" s="251"/>
      <c r="O148" s="251"/>
      <c r="Q148" s="265"/>
      <c r="R148" s="265"/>
      <c r="S148" s="265"/>
      <c r="T148" s="265"/>
      <c r="U148" s="265"/>
      <c r="V148" s="265"/>
    </row>
    <row r="149" spans="1:22" s="2" customFormat="1" ht="125.4" x14ac:dyDescent="0.25">
      <c r="A149" s="13" t="s">
        <v>977</v>
      </c>
      <c r="B149" s="212" t="s">
        <v>816</v>
      </c>
      <c r="C149" s="182" t="s">
        <v>817</v>
      </c>
      <c r="D149" s="210" t="s">
        <v>5</v>
      </c>
      <c r="E149" s="241" t="s">
        <v>732</v>
      </c>
      <c r="F149" s="22">
        <v>5153801</v>
      </c>
      <c r="G149" s="22">
        <f>+Tableau82425[[#This Row],[PRIX UNITAIRE (Ar)]]*Tableau82425[[#This Row],[QUANTITE]]</f>
        <v>5153801</v>
      </c>
      <c r="I149" s="251"/>
      <c r="J149" s="251"/>
      <c r="K149" s="251"/>
      <c r="L149" s="251"/>
      <c r="M149" s="251"/>
      <c r="N149" s="251"/>
      <c r="O149" s="251"/>
      <c r="Q149" s="265"/>
      <c r="R149" s="265"/>
      <c r="S149" s="265"/>
      <c r="T149" s="265"/>
      <c r="U149" s="265"/>
      <c r="V149" s="265"/>
    </row>
    <row r="150" spans="1:22" s="2" customFormat="1" ht="148.19999999999999" x14ac:dyDescent="0.25">
      <c r="A150" s="13" t="s">
        <v>978</v>
      </c>
      <c r="B150" s="212" t="s">
        <v>819</v>
      </c>
      <c r="C150" s="182" t="s">
        <v>820</v>
      </c>
      <c r="D150" s="210" t="s">
        <v>5</v>
      </c>
      <c r="E150" s="241" t="s">
        <v>732</v>
      </c>
      <c r="F150" s="22">
        <v>2497126</v>
      </c>
      <c r="G150" s="22">
        <f>+Tableau82425[[#This Row],[PRIX UNITAIRE (Ar)]]*Tableau82425[[#This Row],[QUANTITE]]</f>
        <v>2497126</v>
      </c>
      <c r="I150" s="251"/>
      <c r="J150" s="251"/>
      <c r="K150" s="251"/>
      <c r="L150" s="251"/>
      <c r="M150" s="251"/>
      <c r="N150" s="251"/>
      <c r="O150" s="251"/>
      <c r="Q150" s="265"/>
      <c r="R150" s="265"/>
      <c r="S150" s="265"/>
      <c r="T150" s="265"/>
      <c r="U150" s="265"/>
      <c r="V150" s="265"/>
    </row>
    <row r="151" spans="1:22" s="2" customFormat="1" ht="148.19999999999999" x14ac:dyDescent="0.25">
      <c r="A151" s="13" t="s">
        <v>979</v>
      </c>
      <c r="B151" s="212" t="s">
        <v>822</v>
      </c>
      <c r="C151" s="182" t="s">
        <v>823</v>
      </c>
      <c r="D151" s="210" t="s">
        <v>5</v>
      </c>
      <c r="E151" s="241" t="s">
        <v>824</v>
      </c>
      <c r="F151" s="22">
        <v>1133847</v>
      </c>
      <c r="G151" s="22">
        <f>+Tableau82425[[#This Row],[PRIX UNITAIRE (Ar)]]*Tableau82425[[#This Row],[QUANTITE]]</f>
        <v>5669235</v>
      </c>
      <c r="I151" s="251"/>
      <c r="J151" s="251"/>
      <c r="K151" s="251"/>
      <c r="L151" s="251"/>
      <c r="M151" s="251"/>
      <c r="N151" s="251"/>
      <c r="O151" s="251"/>
      <c r="Q151" s="265"/>
      <c r="R151" s="265"/>
      <c r="S151" s="265"/>
      <c r="T151" s="265"/>
      <c r="U151" s="265"/>
      <c r="V151" s="265"/>
    </row>
    <row r="152" spans="1:22" s="2" customFormat="1" ht="114" x14ac:dyDescent="0.25">
      <c r="A152" s="13" t="s">
        <v>980</v>
      </c>
      <c r="B152" s="212" t="s">
        <v>825</v>
      </c>
      <c r="C152" s="182" t="s">
        <v>826</v>
      </c>
      <c r="D152" s="210" t="s">
        <v>5</v>
      </c>
      <c r="E152" s="241" t="s">
        <v>732</v>
      </c>
      <c r="F152" s="22">
        <v>2078087</v>
      </c>
      <c r="G152" s="22">
        <f>+Tableau82425[[#This Row],[PRIX UNITAIRE (Ar)]]*Tableau82425[[#This Row],[QUANTITE]]</f>
        <v>2078087</v>
      </c>
      <c r="I152" s="251"/>
      <c r="J152" s="251"/>
      <c r="K152" s="251"/>
      <c r="L152" s="251"/>
      <c r="M152" s="251"/>
      <c r="N152" s="251"/>
      <c r="O152" s="251"/>
      <c r="Q152" s="265"/>
      <c r="R152" s="265"/>
      <c r="S152" s="265"/>
      <c r="T152" s="265"/>
      <c r="U152" s="265"/>
      <c r="V152" s="265"/>
    </row>
    <row r="153" spans="1:22" s="2" customFormat="1" ht="68.400000000000006" x14ac:dyDescent="0.25">
      <c r="A153" s="13" t="s">
        <v>981</v>
      </c>
      <c r="B153" s="212" t="s">
        <v>827</v>
      </c>
      <c r="C153" s="182" t="s">
        <v>828</v>
      </c>
      <c r="D153" s="210" t="s">
        <v>5</v>
      </c>
      <c r="E153" s="241" t="s">
        <v>746</v>
      </c>
      <c r="F153" s="22">
        <v>1717168</v>
      </c>
      <c r="G153" s="22">
        <f>+Tableau82425[[#This Row],[PRIX UNITAIRE (Ar)]]*Tableau82425[[#This Row],[QUANTITE]]</f>
        <v>3434336</v>
      </c>
      <c r="I153" s="251"/>
      <c r="J153" s="251"/>
      <c r="K153" s="251"/>
      <c r="L153" s="251"/>
      <c r="M153" s="251"/>
      <c r="N153" s="251"/>
      <c r="O153" s="251"/>
      <c r="Q153" s="265"/>
      <c r="R153" s="265"/>
      <c r="S153" s="265"/>
      <c r="T153" s="265"/>
      <c r="U153" s="265"/>
      <c r="V153" s="265"/>
    </row>
    <row r="154" spans="1:22" s="2" customFormat="1" ht="102.6" x14ac:dyDescent="0.25">
      <c r="A154" s="13" t="s">
        <v>982</v>
      </c>
      <c r="B154" s="212" t="s">
        <v>829</v>
      </c>
      <c r="C154" s="182" t="s">
        <v>830</v>
      </c>
      <c r="D154" s="210" t="s">
        <v>5</v>
      </c>
      <c r="E154" s="241" t="s">
        <v>732</v>
      </c>
      <c r="F154" s="22">
        <v>2379285</v>
      </c>
      <c r="G154" s="22">
        <f>+Tableau82425[[#This Row],[PRIX UNITAIRE (Ar)]]*Tableau82425[[#This Row],[QUANTITE]]</f>
        <v>2379285</v>
      </c>
      <c r="I154" s="251"/>
      <c r="J154" s="251"/>
      <c r="K154" s="251"/>
      <c r="L154" s="251"/>
      <c r="M154" s="251"/>
      <c r="N154" s="251"/>
      <c r="O154" s="251"/>
      <c r="Q154" s="265"/>
      <c r="R154" s="265"/>
      <c r="S154" s="265"/>
      <c r="T154" s="265"/>
      <c r="U154" s="265"/>
      <c r="V154" s="265"/>
    </row>
    <row r="155" spans="1:22" s="2" customFormat="1" ht="136.80000000000001" x14ac:dyDescent="0.25">
      <c r="A155" s="13" t="s">
        <v>983</v>
      </c>
      <c r="B155" s="212" t="s">
        <v>831</v>
      </c>
      <c r="C155" s="182" t="s">
        <v>832</v>
      </c>
      <c r="D155" s="210" t="s">
        <v>5</v>
      </c>
      <c r="E155" s="241" t="s">
        <v>732</v>
      </c>
      <c r="F155" s="22">
        <v>853370</v>
      </c>
      <c r="G155" s="22">
        <f>+Tableau82425[[#This Row],[PRIX UNITAIRE (Ar)]]*Tableau82425[[#This Row],[QUANTITE]]</f>
        <v>853370</v>
      </c>
      <c r="I155" s="251"/>
      <c r="J155" s="251"/>
      <c r="K155" s="251"/>
      <c r="L155" s="251"/>
      <c r="M155" s="251"/>
      <c r="N155" s="251"/>
      <c r="O155" s="251"/>
      <c r="Q155" s="265"/>
      <c r="R155" s="265"/>
      <c r="S155" s="265"/>
      <c r="T155" s="265"/>
      <c r="U155" s="265"/>
      <c r="V155" s="265"/>
    </row>
    <row r="156" spans="1:22" s="2" customFormat="1" ht="45.6" x14ac:dyDescent="0.25">
      <c r="A156" s="13" t="s">
        <v>984</v>
      </c>
      <c r="B156" s="212" t="s">
        <v>833</v>
      </c>
      <c r="C156" s="182" t="s">
        <v>834</v>
      </c>
      <c r="D156" s="210" t="s">
        <v>5</v>
      </c>
      <c r="E156" s="241" t="s">
        <v>732</v>
      </c>
      <c r="F156" s="22">
        <v>4802369</v>
      </c>
      <c r="G156" s="22">
        <f>+Tableau82425[[#This Row],[PRIX UNITAIRE (Ar)]]*Tableau82425[[#This Row],[QUANTITE]]</f>
        <v>4802369</v>
      </c>
      <c r="I156" s="251"/>
      <c r="J156" s="251"/>
      <c r="K156" s="251"/>
      <c r="L156" s="251"/>
      <c r="M156" s="251"/>
      <c r="N156" s="251"/>
      <c r="O156" s="251"/>
      <c r="Q156" s="265"/>
      <c r="R156" s="265"/>
      <c r="S156" s="265"/>
      <c r="T156" s="265"/>
      <c r="U156" s="265"/>
      <c r="V156" s="265"/>
    </row>
    <row r="157" spans="1:22" s="2" customFormat="1" ht="45.6" x14ac:dyDescent="0.25">
      <c r="A157" s="13" t="s">
        <v>985</v>
      </c>
      <c r="B157" s="212" t="s">
        <v>835</v>
      </c>
      <c r="C157" s="182" t="s">
        <v>836</v>
      </c>
      <c r="D157" s="210" t="s">
        <v>5</v>
      </c>
      <c r="E157" s="241" t="s">
        <v>732</v>
      </c>
      <c r="F157" s="22">
        <v>7370637</v>
      </c>
      <c r="G157" s="22">
        <f>+Tableau82425[[#This Row],[PRIX UNITAIRE (Ar)]]*Tableau82425[[#This Row],[QUANTITE]]</f>
        <v>7370637</v>
      </c>
      <c r="I157" s="251"/>
      <c r="J157" s="251"/>
      <c r="K157" s="251"/>
      <c r="L157" s="251"/>
      <c r="M157" s="251"/>
      <c r="N157" s="251"/>
      <c r="O157" s="251"/>
      <c r="Q157" s="265"/>
      <c r="R157" s="265"/>
      <c r="S157" s="265"/>
      <c r="T157" s="265"/>
      <c r="U157" s="265"/>
      <c r="V157" s="265"/>
    </row>
    <row r="158" spans="1:22" s="2" customFormat="1" ht="45.6" x14ac:dyDescent="0.25">
      <c r="A158" s="13" t="s">
        <v>986</v>
      </c>
      <c r="B158" s="212" t="s">
        <v>837</v>
      </c>
      <c r="C158" s="182" t="s">
        <v>838</v>
      </c>
      <c r="D158" s="210" t="s">
        <v>5</v>
      </c>
      <c r="E158" s="241" t="s">
        <v>732</v>
      </c>
      <c r="F158" s="22">
        <v>7347170</v>
      </c>
      <c r="G158" s="22">
        <f>+Tableau82425[[#This Row],[PRIX UNITAIRE (Ar)]]*Tableau82425[[#This Row],[QUANTITE]]</f>
        <v>7347170</v>
      </c>
      <c r="I158" s="251"/>
      <c r="J158" s="251"/>
      <c r="K158" s="251"/>
      <c r="L158" s="251"/>
      <c r="M158" s="251"/>
      <c r="N158" s="251"/>
      <c r="O158" s="251"/>
      <c r="Q158" s="265"/>
      <c r="R158" s="265"/>
      <c r="S158" s="265"/>
      <c r="T158" s="265"/>
      <c r="U158" s="265"/>
      <c r="V158" s="265"/>
    </row>
    <row r="159" spans="1:22" s="2" customFormat="1" ht="45.6" x14ac:dyDescent="0.25">
      <c r="A159" s="13" t="s">
        <v>987</v>
      </c>
      <c r="B159" s="212" t="s">
        <v>839</v>
      </c>
      <c r="C159" s="182" t="s">
        <v>840</v>
      </c>
      <c r="D159" s="210" t="s">
        <v>5</v>
      </c>
      <c r="E159" s="241" t="s">
        <v>732</v>
      </c>
      <c r="F159" s="22">
        <v>6168330</v>
      </c>
      <c r="G159" s="22">
        <f>+Tableau82425[[#This Row],[PRIX UNITAIRE (Ar)]]*Tableau82425[[#This Row],[QUANTITE]]</f>
        <v>6168330</v>
      </c>
      <c r="I159" s="251"/>
      <c r="J159" s="251"/>
      <c r="K159" s="251"/>
      <c r="L159" s="251"/>
      <c r="M159" s="251"/>
      <c r="N159" s="251"/>
      <c r="O159" s="251"/>
      <c r="Q159" s="265"/>
      <c r="R159" s="265"/>
      <c r="S159" s="265"/>
      <c r="T159" s="265"/>
      <c r="U159" s="265"/>
      <c r="V159" s="265"/>
    </row>
    <row r="160" spans="1:22" s="2" customFormat="1" ht="57" x14ac:dyDescent="0.25">
      <c r="A160" s="13" t="s">
        <v>988</v>
      </c>
      <c r="B160" s="212" t="s">
        <v>841</v>
      </c>
      <c r="C160" s="182" t="s">
        <v>842</v>
      </c>
      <c r="D160" s="210" t="s">
        <v>5</v>
      </c>
      <c r="E160" s="241" t="s">
        <v>732</v>
      </c>
      <c r="F160" s="22">
        <v>7223669</v>
      </c>
      <c r="G160" s="22">
        <f>+Tableau82425[[#This Row],[PRIX UNITAIRE (Ar)]]*Tableau82425[[#This Row],[QUANTITE]]</f>
        <v>7223669</v>
      </c>
      <c r="I160" s="251"/>
      <c r="J160" s="251"/>
      <c r="K160" s="251"/>
      <c r="L160" s="251"/>
      <c r="M160" s="251"/>
      <c r="N160" s="251"/>
      <c r="O160" s="251"/>
      <c r="Q160" s="265"/>
      <c r="R160" s="265"/>
      <c r="S160" s="265"/>
      <c r="T160" s="265"/>
      <c r="U160" s="265"/>
      <c r="V160" s="265"/>
    </row>
    <row r="161" spans="1:22" s="2" customFormat="1" ht="102.6" x14ac:dyDescent="0.25">
      <c r="A161" s="13" t="s">
        <v>989</v>
      </c>
      <c r="B161" s="212" t="s">
        <v>843</v>
      </c>
      <c r="C161" s="182" t="s">
        <v>844</v>
      </c>
      <c r="D161" s="210" t="s">
        <v>5</v>
      </c>
      <c r="E161" s="241" t="s">
        <v>732</v>
      </c>
      <c r="F161" s="22">
        <v>4598108</v>
      </c>
      <c r="G161" s="22">
        <f>+Tableau82425[[#This Row],[PRIX UNITAIRE (Ar)]]*Tableau82425[[#This Row],[QUANTITE]]</f>
        <v>4598108</v>
      </c>
      <c r="I161" s="251"/>
      <c r="J161" s="251"/>
      <c r="K161" s="251"/>
      <c r="L161" s="251"/>
      <c r="M161" s="251"/>
      <c r="N161" s="251"/>
      <c r="O161" s="251"/>
      <c r="Q161" s="265"/>
      <c r="R161" s="265"/>
      <c r="S161" s="265"/>
      <c r="T161" s="265"/>
      <c r="U161" s="265"/>
      <c r="V161" s="265"/>
    </row>
    <row r="162" spans="1:22" s="2" customFormat="1" ht="91.2" x14ac:dyDescent="0.25">
      <c r="A162" s="13" t="s">
        <v>990</v>
      </c>
      <c r="B162" s="212" t="s">
        <v>845</v>
      </c>
      <c r="C162" s="182" t="s">
        <v>846</v>
      </c>
      <c r="D162" s="210" t="s">
        <v>5</v>
      </c>
      <c r="E162" s="241" t="s">
        <v>732</v>
      </c>
      <c r="F162" s="22">
        <v>8564234</v>
      </c>
      <c r="G162" s="22">
        <f>+Tableau82425[[#This Row],[PRIX UNITAIRE (Ar)]]*Tableau82425[[#This Row],[QUANTITE]]</f>
        <v>8564234</v>
      </c>
      <c r="I162" s="251"/>
      <c r="J162" s="251"/>
      <c r="K162" s="251"/>
      <c r="L162" s="251"/>
      <c r="M162" s="251"/>
      <c r="N162" s="251"/>
      <c r="O162" s="251"/>
      <c r="Q162" s="265"/>
      <c r="R162" s="265"/>
      <c r="S162" s="265"/>
      <c r="T162" s="265"/>
      <c r="U162" s="265"/>
      <c r="V162" s="265"/>
    </row>
    <row r="163" spans="1:22" s="2" customFormat="1" ht="22.8" x14ac:dyDescent="0.25">
      <c r="A163" s="13" t="s">
        <v>991</v>
      </c>
      <c r="B163" s="193" t="s">
        <v>896</v>
      </c>
      <c r="C163" s="182" t="s">
        <v>878</v>
      </c>
      <c r="D163" s="210" t="s">
        <v>5</v>
      </c>
      <c r="E163" s="241">
        <v>1</v>
      </c>
      <c r="F163" s="22">
        <f>30693924+28982676+55263614</f>
        <v>114940214</v>
      </c>
      <c r="G163" s="22">
        <f>+Tableau82425[[#This Row],[PRIX UNITAIRE (Ar)]]*Tableau82425[[#This Row],[QUANTITE]]</f>
        <v>114940214</v>
      </c>
      <c r="I163" s="251"/>
      <c r="J163" s="251"/>
      <c r="K163" s="251"/>
      <c r="L163" s="251"/>
      <c r="M163" s="251"/>
      <c r="N163" s="251"/>
      <c r="O163" s="251"/>
      <c r="Q163" s="265"/>
      <c r="R163" s="265"/>
      <c r="S163" s="265"/>
      <c r="T163" s="265"/>
      <c r="U163" s="265"/>
      <c r="V163" s="265"/>
    </row>
    <row r="164" spans="1:22" s="2" customFormat="1" ht="45.6" x14ac:dyDescent="0.25">
      <c r="A164" s="13" t="s">
        <v>992</v>
      </c>
      <c r="B164" s="212" t="s">
        <v>847</v>
      </c>
      <c r="C164" s="182" t="s">
        <v>848</v>
      </c>
      <c r="D164" s="210" t="s">
        <v>5</v>
      </c>
      <c r="E164" s="241" t="s">
        <v>732</v>
      </c>
      <c r="F164" s="22">
        <v>263105</v>
      </c>
      <c r="G164" s="22">
        <f>+Tableau82425[[#This Row],[PRIX UNITAIRE (Ar)]]*Tableau82425[[#This Row],[QUANTITE]]</f>
        <v>263105</v>
      </c>
      <c r="I164" s="251"/>
      <c r="J164" s="251"/>
      <c r="K164" s="251"/>
      <c r="L164" s="251"/>
      <c r="M164" s="251"/>
      <c r="N164" s="251"/>
      <c r="O164" s="251"/>
      <c r="Q164" s="265"/>
      <c r="R164" s="265"/>
      <c r="S164" s="265"/>
      <c r="T164" s="265"/>
      <c r="U164" s="265"/>
      <c r="V164" s="265"/>
    </row>
    <row r="165" spans="1:22" s="2" customFormat="1" ht="45.6" x14ac:dyDescent="0.25">
      <c r="A165" s="13" t="s">
        <v>993</v>
      </c>
      <c r="B165" s="212" t="s">
        <v>849</v>
      </c>
      <c r="C165" s="182" t="s">
        <v>850</v>
      </c>
      <c r="D165" s="210" t="s">
        <v>5</v>
      </c>
      <c r="E165" s="241" t="s">
        <v>732</v>
      </c>
      <c r="F165" s="22">
        <v>183595</v>
      </c>
      <c r="G165" s="22">
        <f>+Tableau82425[[#This Row],[PRIX UNITAIRE (Ar)]]*Tableau82425[[#This Row],[QUANTITE]]</f>
        <v>183595</v>
      </c>
      <c r="I165" s="251"/>
      <c r="J165" s="251"/>
      <c r="K165" s="251"/>
      <c r="L165" s="251"/>
      <c r="M165" s="251"/>
      <c r="N165" s="251"/>
      <c r="O165" s="251"/>
      <c r="Q165" s="265"/>
      <c r="R165" s="265"/>
      <c r="S165" s="265"/>
      <c r="T165" s="265"/>
      <c r="U165" s="265"/>
      <c r="V165" s="265"/>
    </row>
    <row r="166" spans="1:22" s="2" customFormat="1" ht="45.6" x14ac:dyDescent="0.25">
      <c r="A166" s="13" t="s">
        <v>994</v>
      </c>
      <c r="B166" s="212" t="s">
        <v>851</v>
      </c>
      <c r="C166" s="182" t="s">
        <v>852</v>
      </c>
      <c r="D166" s="210" t="s">
        <v>5</v>
      </c>
      <c r="E166" s="241" t="s">
        <v>732</v>
      </c>
      <c r="F166" s="22">
        <v>153350</v>
      </c>
      <c r="G166" s="22">
        <f>+Tableau82425[[#This Row],[PRIX UNITAIRE (Ar)]]*Tableau82425[[#This Row],[QUANTITE]]</f>
        <v>153350</v>
      </c>
      <c r="I166" s="251"/>
      <c r="J166" s="251"/>
      <c r="K166" s="251"/>
      <c r="L166" s="251"/>
      <c r="M166" s="251"/>
      <c r="N166" s="251"/>
      <c r="O166" s="251"/>
      <c r="Q166" s="265"/>
      <c r="R166" s="265"/>
      <c r="S166" s="265"/>
      <c r="T166" s="265"/>
      <c r="U166" s="265"/>
      <c r="V166" s="265"/>
    </row>
    <row r="167" spans="1:22" s="2" customFormat="1" ht="45.6" x14ac:dyDescent="0.25">
      <c r="A167" s="13" t="s">
        <v>995</v>
      </c>
      <c r="B167" s="212" t="s">
        <v>853</v>
      </c>
      <c r="C167" s="182" t="s">
        <v>854</v>
      </c>
      <c r="D167" s="210" t="s">
        <v>5</v>
      </c>
      <c r="E167" s="241" t="s">
        <v>732</v>
      </c>
      <c r="F167" s="22">
        <v>164349</v>
      </c>
      <c r="G167" s="22">
        <f>+Tableau82425[[#This Row],[PRIX UNITAIRE (Ar)]]*Tableau82425[[#This Row],[QUANTITE]]</f>
        <v>164349</v>
      </c>
      <c r="I167" s="251"/>
      <c r="J167" s="251"/>
      <c r="K167" s="251"/>
      <c r="L167" s="251"/>
      <c r="M167" s="251"/>
      <c r="N167" s="251"/>
      <c r="O167" s="251"/>
      <c r="Q167" s="265"/>
      <c r="R167" s="265"/>
      <c r="S167" s="265"/>
      <c r="T167" s="265"/>
      <c r="U167" s="265"/>
      <c r="V167" s="265"/>
    </row>
    <row r="168" spans="1:22" s="2" customFormat="1" ht="79.8" x14ac:dyDescent="0.25">
      <c r="A168" s="13" t="s">
        <v>996</v>
      </c>
      <c r="B168" s="212" t="s">
        <v>855</v>
      </c>
      <c r="C168" s="182" t="s">
        <v>856</v>
      </c>
      <c r="D168" s="210" t="s">
        <v>5</v>
      </c>
      <c r="E168" s="241" t="s">
        <v>732</v>
      </c>
      <c r="F168" s="22">
        <v>5577005</v>
      </c>
      <c r="G168" s="22">
        <f>+Tableau82425[[#This Row],[PRIX UNITAIRE (Ar)]]*Tableau82425[[#This Row],[QUANTITE]]</f>
        <v>5577005</v>
      </c>
      <c r="I168" s="251"/>
      <c r="J168" s="251"/>
      <c r="K168" s="251"/>
      <c r="L168" s="251"/>
      <c r="M168" s="251"/>
      <c r="N168" s="251"/>
      <c r="O168" s="251"/>
      <c r="Q168" s="265"/>
      <c r="R168" s="265"/>
      <c r="S168" s="265"/>
      <c r="T168" s="265"/>
      <c r="U168" s="265"/>
      <c r="V168" s="265"/>
    </row>
    <row r="169" spans="1:22" s="2" customFormat="1" ht="79.8" x14ac:dyDescent="0.25">
      <c r="A169" s="13" t="s">
        <v>997</v>
      </c>
      <c r="B169" s="212" t="s">
        <v>857</v>
      </c>
      <c r="C169" s="182" t="s">
        <v>858</v>
      </c>
      <c r="D169" s="210" t="s">
        <v>5</v>
      </c>
      <c r="E169" s="241" t="s">
        <v>732</v>
      </c>
      <c r="F169" s="22">
        <v>10749978</v>
      </c>
      <c r="G169" s="22">
        <f>+Tableau82425[[#This Row],[PRIX UNITAIRE (Ar)]]*Tableau82425[[#This Row],[QUANTITE]]</f>
        <v>10749978</v>
      </c>
      <c r="I169" s="251"/>
      <c r="J169" s="251"/>
      <c r="K169" s="251"/>
      <c r="L169" s="251"/>
      <c r="M169" s="251"/>
      <c r="N169" s="251"/>
      <c r="O169" s="251"/>
      <c r="Q169" s="265"/>
      <c r="R169" s="265"/>
      <c r="S169" s="265"/>
      <c r="T169" s="265"/>
      <c r="U169" s="265"/>
      <c r="V169" s="265"/>
    </row>
    <row r="170" spans="1:22" s="2" customFormat="1" ht="79.8" x14ac:dyDescent="0.25">
      <c r="A170" s="13" t="s">
        <v>998</v>
      </c>
      <c r="B170" s="212" t="s">
        <v>859</v>
      </c>
      <c r="C170" s="182" t="s">
        <v>860</v>
      </c>
      <c r="D170" s="210" t="s">
        <v>5</v>
      </c>
      <c r="E170" s="241" t="s">
        <v>732</v>
      </c>
      <c r="F170" s="22">
        <v>1289808</v>
      </c>
      <c r="G170" s="22">
        <f>+Tableau82425[[#This Row],[PRIX UNITAIRE (Ar)]]*Tableau82425[[#This Row],[QUANTITE]]</f>
        <v>1289808</v>
      </c>
      <c r="I170" s="251"/>
      <c r="J170" s="251"/>
      <c r="K170" s="251"/>
      <c r="L170" s="251"/>
      <c r="M170" s="251"/>
      <c r="N170" s="251"/>
      <c r="O170" s="251"/>
      <c r="Q170" s="265"/>
      <c r="R170" s="265"/>
      <c r="S170" s="265"/>
      <c r="T170" s="265"/>
      <c r="U170" s="265"/>
      <c r="V170" s="265"/>
    </row>
    <row r="171" spans="1:22" s="2" customFormat="1" ht="79.8" x14ac:dyDescent="0.25">
      <c r="A171" s="13" t="s">
        <v>999</v>
      </c>
      <c r="B171" s="212" t="s">
        <v>861</v>
      </c>
      <c r="C171" s="182" t="s">
        <v>862</v>
      </c>
      <c r="D171" s="210" t="s">
        <v>5</v>
      </c>
      <c r="E171" s="241">
        <v>3</v>
      </c>
      <c r="F171" s="22">
        <v>3441381</v>
      </c>
      <c r="G171" s="22">
        <f>+Tableau82425[[#This Row],[PRIX UNITAIRE (Ar)]]*Tableau82425[[#This Row],[QUANTITE]]</f>
        <v>10324143</v>
      </c>
      <c r="I171" s="251"/>
      <c r="J171" s="251"/>
      <c r="K171" s="251"/>
      <c r="L171" s="251"/>
      <c r="M171" s="251"/>
      <c r="N171" s="251"/>
      <c r="O171" s="251"/>
      <c r="Q171" s="265"/>
      <c r="R171" s="265"/>
      <c r="S171" s="265"/>
      <c r="T171" s="265"/>
      <c r="U171" s="265"/>
      <c r="V171" s="265"/>
    </row>
    <row r="172" spans="1:22" s="2" customFormat="1" ht="79.8" x14ac:dyDescent="0.25">
      <c r="A172" s="13" t="s">
        <v>1000</v>
      </c>
      <c r="B172" s="212" t="s">
        <v>863</v>
      </c>
      <c r="C172" s="182" t="s">
        <v>864</v>
      </c>
      <c r="D172" s="210" t="s">
        <v>5</v>
      </c>
      <c r="E172" s="241" t="s">
        <v>732</v>
      </c>
      <c r="F172" s="22">
        <v>8559860</v>
      </c>
      <c r="G172" s="22">
        <f>+Tableau82425[[#This Row],[PRIX UNITAIRE (Ar)]]*Tableau82425[[#This Row],[QUANTITE]]</f>
        <v>8559860</v>
      </c>
      <c r="I172" s="251"/>
      <c r="J172" s="251"/>
      <c r="K172" s="251"/>
      <c r="L172" s="251"/>
      <c r="M172" s="251"/>
      <c r="N172" s="251"/>
      <c r="O172" s="251"/>
      <c r="Q172" s="265"/>
      <c r="R172" s="265"/>
      <c r="S172" s="265"/>
      <c r="T172" s="265"/>
      <c r="U172" s="265"/>
      <c r="V172" s="265"/>
    </row>
    <row r="173" spans="1:22" s="2" customFormat="1" ht="79.8" x14ac:dyDescent="0.25">
      <c r="A173" s="13" t="s">
        <v>1001</v>
      </c>
      <c r="B173" s="212" t="s">
        <v>865</v>
      </c>
      <c r="C173" s="182" t="s">
        <v>866</v>
      </c>
      <c r="D173" s="210" t="s">
        <v>5</v>
      </c>
      <c r="E173" s="241" t="s">
        <v>732</v>
      </c>
      <c r="F173" s="22">
        <v>5437588</v>
      </c>
      <c r="G173" s="22">
        <f>+Tableau82425[[#This Row],[PRIX UNITAIRE (Ar)]]*Tableau82425[[#This Row],[QUANTITE]]</f>
        <v>5437588</v>
      </c>
      <c r="I173" s="251"/>
      <c r="J173" s="251"/>
      <c r="K173" s="251"/>
      <c r="L173" s="251"/>
      <c r="M173" s="251"/>
      <c r="N173" s="251"/>
      <c r="O173" s="251"/>
      <c r="Q173" s="265"/>
      <c r="R173" s="265"/>
      <c r="S173" s="265"/>
      <c r="T173" s="265"/>
      <c r="U173" s="265"/>
      <c r="V173" s="265"/>
    </row>
    <row r="174" spans="1:22" s="2" customFormat="1" ht="79.8" x14ac:dyDescent="0.25">
      <c r="A174" s="13" t="s">
        <v>1002</v>
      </c>
      <c r="B174" s="212" t="s">
        <v>867</v>
      </c>
      <c r="C174" s="182" t="s">
        <v>868</v>
      </c>
      <c r="D174" s="210" t="s">
        <v>5</v>
      </c>
      <c r="E174" s="241" t="s">
        <v>732</v>
      </c>
      <c r="F174" s="22">
        <v>30340722</v>
      </c>
      <c r="G174" s="22">
        <f>+Tableau82425[[#This Row],[PRIX UNITAIRE (Ar)]]*Tableau82425[[#This Row],[QUANTITE]]</f>
        <v>30340722</v>
      </c>
      <c r="I174" s="251"/>
      <c r="J174" s="251"/>
      <c r="K174" s="251"/>
      <c r="L174" s="251"/>
      <c r="M174" s="251"/>
      <c r="N174" s="251"/>
      <c r="O174" s="251"/>
      <c r="Q174" s="265"/>
      <c r="R174" s="265"/>
      <c r="S174" s="265"/>
      <c r="T174" s="265"/>
      <c r="U174" s="265"/>
      <c r="V174" s="265"/>
    </row>
    <row r="175" spans="1:22" s="2" customFormat="1" ht="79.8" x14ac:dyDescent="0.25">
      <c r="A175" s="13" t="s">
        <v>1003</v>
      </c>
      <c r="B175" s="212" t="s">
        <v>869</v>
      </c>
      <c r="C175" s="182" t="s">
        <v>870</v>
      </c>
      <c r="D175" s="210" t="s">
        <v>5</v>
      </c>
      <c r="E175" s="241" t="s">
        <v>732</v>
      </c>
      <c r="F175" s="22">
        <v>32930027</v>
      </c>
      <c r="G175" s="22">
        <f>+Tableau82425[[#This Row],[PRIX UNITAIRE (Ar)]]*Tableau82425[[#This Row],[QUANTITE]]</f>
        <v>32930027</v>
      </c>
      <c r="I175" s="251"/>
      <c r="J175" s="251"/>
      <c r="K175" s="251"/>
      <c r="L175" s="251"/>
      <c r="M175" s="251"/>
      <c r="N175" s="251"/>
      <c r="O175" s="251"/>
      <c r="Q175" s="265"/>
      <c r="R175" s="265"/>
      <c r="S175" s="265"/>
      <c r="T175" s="265"/>
      <c r="U175" s="265"/>
      <c r="V175" s="265"/>
    </row>
    <row r="176" spans="1:22" s="2" customFormat="1" ht="79.8" x14ac:dyDescent="0.25">
      <c r="A176" s="13" t="s">
        <v>1004</v>
      </c>
      <c r="B176" s="212" t="s">
        <v>871</v>
      </c>
      <c r="C176" s="182" t="s">
        <v>872</v>
      </c>
      <c r="D176" s="210" t="s">
        <v>5</v>
      </c>
      <c r="E176" s="241" t="s">
        <v>732</v>
      </c>
      <c r="F176" s="22">
        <f>5567506+6368306+8093102</f>
        <v>20028914</v>
      </c>
      <c r="G176" s="22">
        <f>+Tableau82425[[#This Row],[PRIX UNITAIRE (Ar)]]*Tableau82425[[#This Row],[QUANTITE]]</f>
        <v>20028914</v>
      </c>
      <c r="I176" s="251"/>
      <c r="J176" s="251"/>
      <c r="K176" s="251"/>
      <c r="L176" s="251"/>
      <c r="M176" s="251"/>
      <c r="N176" s="251"/>
      <c r="O176" s="251"/>
      <c r="Q176" s="265"/>
      <c r="R176" s="265"/>
      <c r="S176" s="265"/>
      <c r="T176" s="265"/>
      <c r="U176" s="265"/>
      <c r="V176" s="265"/>
    </row>
    <row r="177" spans="1:22" s="2" customFormat="1" ht="79.8" x14ac:dyDescent="0.25">
      <c r="A177" s="13" t="s">
        <v>1005</v>
      </c>
      <c r="B177" s="212" t="s">
        <v>873</v>
      </c>
      <c r="C177" s="182" t="s">
        <v>874</v>
      </c>
      <c r="D177" s="210" t="s">
        <v>5</v>
      </c>
      <c r="E177" s="241" t="s">
        <v>740</v>
      </c>
      <c r="F177" s="22">
        <v>8533530</v>
      </c>
      <c r="G177" s="22">
        <f>+Tableau82425[[#This Row],[PRIX UNITAIRE (Ar)]]*Tableau82425[[#This Row],[QUANTITE]]</f>
        <v>34134120</v>
      </c>
      <c r="I177" s="251"/>
      <c r="J177" s="251"/>
      <c r="K177" s="251"/>
      <c r="L177" s="251"/>
      <c r="M177" s="251"/>
      <c r="N177" s="251"/>
      <c r="O177" s="251"/>
      <c r="Q177" s="265"/>
      <c r="R177" s="265"/>
      <c r="S177" s="265"/>
      <c r="T177" s="265"/>
      <c r="U177" s="265"/>
      <c r="V177" s="265"/>
    </row>
    <row r="178" spans="1:22" s="2" customFormat="1" ht="45.6" x14ac:dyDescent="0.25">
      <c r="A178" s="13" t="s">
        <v>1006</v>
      </c>
      <c r="B178" s="212" t="s">
        <v>875</v>
      </c>
      <c r="C178" s="182" t="s">
        <v>876</v>
      </c>
      <c r="D178" s="210" t="s">
        <v>5</v>
      </c>
      <c r="E178" s="241" t="s">
        <v>732</v>
      </c>
      <c r="F178" s="22">
        <f>1641760+1352776+1863869</f>
        <v>4858405</v>
      </c>
      <c r="G178" s="22">
        <f>+Tableau82425[[#This Row],[PRIX UNITAIRE (Ar)]]*Tableau82425[[#This Row],[QUANTITE]]</f>
        <v>4858405</v>
      </c>
      <c r="I178" s="251"/>
      <c r="J178" s="251"/>
      <c r="K178" s="251"/>
      <c r="L178" s="251"/>
      <c r="M178" s="251"/>
      <c r="N178" s="251"/>
      <c r="O178" s="251"/>
      <c r="Q178" s="265"/>
      <c r="R178" s="265"/>
      <c r="S178" s="265"/>
      <c r="T178" s="265"/>
      <c r="U178" s="265"/>
      <c r="V178" s="265"/>
    </row>
    <row r="179" spans="1:22" s="2" customFormat="1" ht="13.8" x14ac:dyDescent="0.25">
      <c r="A179" s="7" t="s">
        <v>81</v>
      </c>
      <c r="B179" s="8" t="s">
        <v>74</v>
      </c>
      <c r="C179" s="8"/>
      <c r="D179" s="16"/>
      <c r="E179" s="237"/>
      <c r="F179" s="231"/>
      <c r="G179" s="25">
        <f>+SUM(G180:G199)</f>
        <v>108558000</v>
      </c>
      <c r="I179" s="251"/>
      <c r="J179" s="251"/>
      <c r="K179" s="251"/>
      <c r="L179" s="251"/>
      <c r="M179" s="251"/>
      <c r="N179" s="251"/>
      <c r="O179" s="251"/>
      <c r="Q179" s="265"/>
      <c r="R179" s="265"/>
      <c r="S179" s="265"/>
      <c r="T179" s="265"/>
      <c r="U179" s="265"/>
      <c r="V179" s="265"/>
    </row>
    <row r="180" spans="1:22" s="2" customFormat="1" ht="68.400000000000006" x14ac:dyDescent="0.25">
      <c r="A180" s="203" t="s">
        <v>763</v>
      </c>
      <c r="B180" s="11" t="s">
        <v>391</v>
      </c>
      <c r="C180" s="182" t="s">
        <v>380</v>
      </c>
      <c r="D180" s="15" t="s">
        <v>25</v>
      </c>
      <c r="E180" s="238">
        <v>1</v>
      </c>
      <c r="F180" s="22">
        <v>11120000</v>
      </c>
      <c r="G180" s="22">
        <f>+Tableau82425[[#This Row],[PRIX UNITAIRE (Ar)]]*Tableau82425[[#This Row],[QUANTITE]]</f>
        <v>11120000</v>
      </c>
      <c r="I180" s="251"/>
      <c r="J180" s="251"/>
      <c r="K180" s="251"/>
      <c r="L180" s="251"/>
      <c r="M180" s="251"/>
      <c r="N180" s="251"/>
      <c r="O180" s="251"/>
      <c r="Q180" s="265"/>
      <c r="R180" s="265"/>
      <c r="S180" s="265"/>
      <c r="T180" s="265"/>
      <c r="U180" s="265"/>
      <c r="V180" s="265"/>
    </row>
    <row r="181" spans="1:22" s="2" customFormat="1" ht="34.200000000000003" x14ac:dyDescent="0.25">
      <c r="A181" s="203" t="s">
        <v>766</v>
      </c>
      <c r="B181" s="11" t="s">
        <v>288</v>
      </c>
      <c r="C181" s="182" t="s">
        <v>287</v>
      </c>
      <c r="D181" s="16" t="s">
        <v>25</v>
      </c>
      <c r="E181" s="238">
        <v>1</v>
      </c>
      <c r="F181" s="22">
        <v>8840000</v>
      </c>
      <c r="G181" s="22">
        <f>+Tableau82425[[#This Row],[PRIX UNITAIRE (Ar)]]*Tableau82425[[#This Row],[QUANTITE]]</f>
        <v>8840000</v>
      </c>
      <c r="I181" s="251"/>
      <c r="J181" s="251"/>
      <c r="K181" s="251"/>
      <c r="L181" s="251"/>
      <c r="M181" s="251"/>
      <c r="N181" s="251"/>
      <c r="O181" s="251"/>
      <c r="Q181" s="265"/>
      <c r="R181" s="265"/>
      <c r="S181" s="265"/>
      <c r="T181" s="265"/>
      <c r="U181" s="265"/>
      <c r="V181" s="265"/>
    </row>
    <row r="182" spans="1:22" s="2" customFormat="1" ht="22.8" x14ac:dyDescent="0.25">
      <c r="A182" s="203" t="s">
        <v>769</v>
      </c>
      <c r="B182" s="193" t="s">
        <v>400</v>
      </c>
      <c r="C182" s="182" t="s">
        <v>392</v>
      </c>
      <c r="D182" s="16" t="s">
        <v>25</v>
      </c>
      <c r="E182" s="238">
        <v>1</v>
      </c>
      <c r="F182" s="22">
        <v>3950000</v>
      </c>
      <c r="G182" s="22">
        <f>+Tableau82425[[#This Row],[PRIX UNITAIRE (Ar)]]*Tableau82425[[#This Row],[QUANTITE]]</f>
        <v>3950000</v>
      </c>
      <c r="I182" s="251"/>
      <c r="J182" s="251"/>
      <c r="K182" s="251"/>
      <c r="L182" s="251"/>
      <c r="M182" s="251"/>
      <c r="N182" s="251"/>
      <c r="O182" s="251"/>
      <c r="Q182" s="265"/>
      <c r="R182" s="265"/>
      <c r="S182" s="265"/>
      <c r="T182" s="265"/>
      <c r="U182" s="265"/>
      <c r="V182" s="265"/>
    </row>
    <row r="183" spans="1:22" s="2" customFormat="1" ht="22.8" x14ac:dyDescent="0.25">
      <c r="A183" s="203" t="s">
        <v>772</v>
      </c>
      <c r="B183" s="193" t="s">
        <v>718</v>
      </c>
      <c r="C183" s="182" t="s">
        <v>719</v>
      </c>
      <c r="D183" s="16" t="s">
        <v>25</v>
      </c>
      <c r="E183" s="238">
        <v>1</v>
      </c>
      <c r="F183" s="22">
        <v>3500000</v>
      </c>
      <c r="G183" s="22">
        <f>+Tableau82425[[#This Row],[PRIX UNITAIRE (Ar)]]*Tableau82425[[#This Row],[QUANTITE]]</f>
        <v>3500000</v>
      </c>
      <c r="I183" s="251"/>
      <c r="J183" s="251"/>
      <c r="K183" s="251"/>
      <c r="L183" s="251"/>
      <c r="M183" s="251"/>
      <c r="N183" s="251"/>
      <c r="O183" s="251"/>
      <c r="Q183" s="265"/>
      <c r="R183" s="265"/>
      <c r="S183" s="265"/>
      <c r="T183" s="265"/>
      <c r="U183" s="265"/>
      <c r="V183" s="265"/>
    </row>
    <row r="184" spans="1:22" s="2" customFormat="1" ht="34.200000000000003" x14ac:dyDescent="0.25">
      <c r="A184" s="203" t="s">
        <v>775</v>
      </c>
      <c r="B184" s="11" t="s">
        <v>408</v>
      </c>
      <c r="C184" s="182" t="s">
        <v>393</v>
      </c>
      <c r="D184" s="16" t="s">
        <v>25</v>
      </c>
      <c r="E184" s="238">
        <v>1</v>
      </c>
      <c r="F184" s="22">
        <v>8490000</v>
      </c>
      <c r="G184" s="22">
        <f>+Tableau82425[[#This Row],[PRIX UNITAIRE (Ar)]]*Tableau82425[[#This Row],[QUANTITE]]</f>
        <v>8490000</v>
      </c>
      <c r="I184" s="251"/>
      <c r="J184" s="251"/>
      <c r="K184" s="251"/>
      <c r="L184" s="251"/>
      <c r="M184" s="251"/>
      <c r="N184" s="251"/>
      <c r="O184" s="251"/>
      <c r="Q184" s="265"/>
      <c r="R184" s="265"/>
      <c r="S184" s="265"/>
      <c r="T184" s="265"/>
      <c r="U184" s="265"/>
      <c r="V184" s="265"/>
    </row>
    <row r="185" spans="1:22" s="2" customFormat="1" ht="22.8" x14ac:dyDescent="0.25">
      <c r="A185" s="203" t="s">
        <v>778</v>
      </c>
      <c r="B185" s="218" t="s">
        <v>711</v>
      </c>
      <c r="C185" s="182" t="s">
        <v>712</v>
      </c>
      <c r="D185" s="220" t="s">
        <v>5</v>
      </c>
      <c r="E185" s="238">
        <v>1</v>
      </c>
      <c r="F185" s="22">
        <v>3240000</v>
      </c>
      <c r="G185" s="22">
        <f>+Tableau82425[[#This Row],[PRIX UNITAIRE (Ar)]]*Tableau82425[[#This Row],[QUANTITE]]</f>
        <v>3240000</v>
      </c>
      <c r="I185" s="251"/>
      <c r="J185" s="251"/>
      <c r="K185" s="251"/>
      <c r="L185" s="251"/>
      <c r="M185" s="251"/>
      <c r="N185" s="251"/>
      <c r="O185" s="251"/>
      <c r="Q185" s="265"/>
      <c r="R185" s="265"/>
      <c r="S185" s="265"/>
      <c r="T185" s="265"/>
      <c r="U185" s="265"/>
      <c r="V185" s="265"/>
    </row>
    <row r="186" spans="1:22" s="2" customFormat="1" ht="22.8" x14ac:dyDescent="0.25">
      <c r="A186" s="203" t="s">
        <v>781</v>
      </c>
      <c r="B186" s="11" t="s">
        <v>720</v>
      </c>
      <c r="C186" s="182" t="s">
        <v>725</v>
      </c>
      <c r="D186" s="15" t="s">
        <v>5</v>
      </c>
      <c r="E186" s="238">
        <v>1</v>
      </c>
      <c r="F186" s="22">
        <v>3800000</v>
      </c>
      <c r="G186" s="22">
        <f>+Tableau82425[[#This Row],[PRIX UNITAIRE (Ar)]]*Tableau82425[[#This Row],[QUANTITE]]</f>
        <v>3800000</v>
      </c>
      <c r="I186" s="251"/>
      <c r="J186" s="251"/>
      <c r="K186" s="251"/>
      <c r="L186" s="251"/>
      <c r="M186" s="251"/>
      <c r="N186" s="251"/>
      <c r="O186" s="251"/>
      <c r="Q186" s="265"/>
      <c r="R186" s="265"/>
      <c r="S186" s="265"/>
      <c r="T186" s="265"/>
      <c r="U186" s="265"/>
      <c r="V186" s="265"/>
    </row>
    <row r="187" spans="1:22" s="2" customFormat="1" ht="34.200000000000003" x14ac:dyDescent="0.25">
      <c r="A187" s="203" t="s">
        <v>784</v>
      </c>
      <c r="B187" s="11" t="s">
        <v>409</v>
      </c>
      <c r="C187" s="182" t="s">
        <v>724</v>
      </c>
      <c r="D187" s="15" t="s">
        <v>5</v>
      </c>
      <c r="E187" s="238">
        <v>5</v>
      </c>
      <c r="F187" s="22">
        <v>2340000</v>
      </c>
      <c r="G187" s="22">
        <f>+Tableau82425[[#This Row],[PRIX UNITAIRE (Ar)]]*Tableau82425[[#This Row],[QUANTITE]]</f>
        <v>11700000</v>
      </c>
      <c r="I187" s="251"/>
      <c r="J187" s="251"/>
      <c r="K187" s="251"/>
      <c r="L187" s="251"/>
      <c r="M187" s="251"/>
      <c r="N187" s="251"/>
      <c r="O187" s="251"/>
      <c r="Q187" s="265"/>
      <c r="R187" s="265"/>
      <c r="S187" s="265"/>
      <c r="T187" s="265"/>
      <c r="U187" s="265"/>
      <c r="V187" s="265"/>
    </row>
    <row r="188" spans="1:22" s="2" customFormat="1" ht="34.200000000000003" x14ac:dyDescent="0.25">
      <c r="A188" s="203" t="s">
        <v>787</v>
      </c>
      <c r="B188" s="11" t="s">
        <v>322</v>
      </c>
      <c r="C188" s="182" t="s">
        <v>727</v>
      </c>
      <c r="D188" s="15" t="s">
        <v>5</v>
      </c>
      <c r="E188" s="238">
        <v>1</v>
      </c>
      <c r="F188" s="22">
        <v>3200000</v>
      </c>
      <c r="G188" s="22">
        <f>+Tableau82425[[#This Row],[PRIX UNITAIRE (Ar)]]*Tableau82425[[#This Row],[QUANTITE]]</f>
        <v>3200000</v>
      </c>
      <c r="I188" s="251"/>
      <c r="J188" s="251"/>
      <c r="K188" s="251"/>
      <c r="L188" s="251"/>
      <c r="M188" s="251"/>
      <c r="N188" s="251"/>
      <c r="O188" s="251"/>
      <c r="Q188" s="265"/>
      <c r="R188" s="265"/>
      <c r="S188" s="265"/>
      <c r="T188" s="265"/>
      <c r="U188" s="265"/>
      <c r="V188" s="265"/>
    </row>
    <row r="189" spans="1:22" s="2" customFormat="1" ht="34.200000000000003" x14ac:dyDescent="0.25">
      <c r="A189" s="203" t="s">
        <v>790</v>
      </c>
      <c r="B189" s="11" t="s">
        <v>322</v>
      </c>
      <c r="C189" s="182" t="s">
        <v>616</v>
      </c>
      <c r="D189" s="15" t="s">
        <v>5</v>
      </c>
      <c r="E189" s="238">
        <v>5</v>
      </c>
      <c r="F189" s="22">
        <v>2100000</v>
      </c>
      <c r="G189" s="22">
        <f>+Tableau82425[[#This Row],[PRIX UNITAIRE (Ar)]]*Tableau82425[[#This Row],[QUANTITE]]</f>
        <v>10500000</v>
      </c>
      <c r="I189" s="251"/>
      <c r="J189" s="251"/>
      <c r="K189" s="251"/>
      <c r="L189" s="251"/>
      <c r="M189" s="251"/>
      <c r="N189" s="251"/>
      <c r="O189" s="251"/>
      <c r="Q189" s="265"/>
      <c r="R189" s="265"/>
      <c r="S189" s="265"/>
      <c r="T189" s="265"/>
      <c r="U189" s="265"/>
      <c r="V189" s="265"/>
    </row>
    <row r="190" spans="1:22" s="2" customFormat="1" ht="34.200000000000003" x14ac:dyDescent="0.25">
      <c r="A190" s="203" t="s">
        <v>794</v>
      </c>
      <c r="B190" s="11" t="s">
        <v>618</v>
      </c>
      <c r="C190" s="182" t="s">
        <v>726</v>
      </c>
      <c r="D190" s="15" t="s">
        <v>5</v>
      </c>
      <c r="E190" s="238">
        <v>1</v>
      </c>
      <c r="F190" s="22">
        <v>632500</v>
      </c>
      <c r="G190" s="22">
        <f>+Tableau82425[[#This Row],[PRIX UNITAIRE (Ar)]]*Tableau82425[[#This Row],[QUANTITE]]</f>
        <v>632500</v>
      </c>
      <c r="I190" s="251"/>
      <c r="J190" s="251"/>
      <c r="K190" s="251"/>
      <c r="L190" s="251"/>
      <c r="M190" s="251"/>
      <c r="N190" s="251"/>
      <c r="O190" s="251"/>
      <c r="Q190" s="265"/>
      <c r="R190" s="265"/>
      <c r="S190" s="265"/>
      <c r="T190" s="265"/>
      <c r="U190" s="265"/>
      <c r="V190" s="265"/>
    </row>
    <row r="191" spans="1:22" s="2" customFormat="1" ht="34.200000000000003" x14ac:dyDescent="0.25">
      <c r="A191" s="203" t="s">
        <v>797</v>
      </c>
      <c r="B191" s="11" t="s">
        <v>619</v>
      </c>
      <c r="C191" s="182" t="s">
        <v>726</v>
      </c>
      <c r="D191" s="15" t="s">
        <v>5</v>
      </c>
      <c r="E191" s="238">
        <v>1</v>
      </c>
      <c r="F191" s="22">
        <v>842000</v>
      </c>
      <c r="G191" s="22">
        <f>+Tableau82425[[#This Row],[PRIX UNITAIRE (Ar)]]*Tableau82425[[#This Row],[QUANTITE]]</f>
        <v>842000</v>
      </c>
      <c r="I191" s="251"/>
      <c r="J191" s="251"/>
      <c r="K191" s="251"/>
      <c r="L191" s="251"/>
      <c r="M191" s="251"/>
      <c r="N191" s="251"/>
      <c r="O191" s="251"/>
      <c r="Q191" s="265"/>
      <c r="R191" s="265"/>
      <c r="S191" s="265"/>
      <c r="T191" s="265"/>
      <c r="U191" s="265"/>
      <c r="V191" s="265"/>
    </row>
    <row r="192" spans="1:22" s="2" customFormat="1" ht="22.8" x14ac:dyDescent="0.25">
      <c r="A192" s="203" t="s">
        <v>800</v>
      </c>
      <c r="B192" s="11" t="s">
        <v>394</v>
      </c>
      <c r="C192" s="194" t="s">
        <v>617</v>
      </c>
      <c r="D192" s="15" t="s">
        <v>5</v>
      </c>
      <c r="E192" s="238">
        <v>3</v>
      </c>
      <c r="F192" s="22">
        <v>56800</v>
      </c>
      <c r="G192" s="22">
        <f>+Tableau82425[[#This Row],[PRIX UNITAIRE (Ar)]]*Tableau82425[[#This Row],[QUANTITE]]</f>
        <v>170400</v>
      </c>
      <c r="I192" s="251"/>
      <c r="J192" s="251"/>
      <c r="K192" s="251"/>
      <c r="L192" s="251"/>
      <c r="M192" s="251"/>
      <c r="N192" s="251"/>
      <c r="O192" s="251"/>
      <c r="Q192" s="265"/>
      <c r="R192" s="265"/>
      <c r="S192" s="265"/>
      <c r="T192" s="265"/>
      <c r="U192" s="265"/>
      <c r="V192" s="265"/>
    </row>
    <row r="193" spans="1:22" s="2" customFormat="1" ht="22.8" x14ac:dyDescent="0.25">
      <c r="A193" s="203" t="s">
        <v>803</v>
      </c>
      <c r="B193" s="11" t="s">
        <v>713</v>
      </c>
      <c r="C193" s="182" t="s">
        <v>616</v>
      </c>
      <c r="D193" s="15" t="s">
        <v>5</v>
      </c>
      <c r="E193" s="238">
        <v>6</v>
      </c>
      <c r="F193" s="22">
        <v>105000</v>
      </c>
      <c r="G193" s="22">
        <f>+Tableau82425[[#This Row],[PRIX UNITAIRE (Ar)]]*Tableau82425[[#This Row],[QUANTITE]]</f>
        <v>630000</v>
      </c>
      <c r="I193" s="251"/>
      <c r="J193" s="251"/>
      <c r="K193" s="251"/>
      <c r="L193" s="251"/>
      <c r="M193" s="251"/>
      <c r="N193" s="251"/>
      <c r="O193" s="251"/>
      <c r="Q193" s="265"/>
      <c r="R193" s="265"/>
      <c r="S193" s="265"/>
      <c r="T193" s="265"/>
      <c r="U193" s="265"/>
      <c r="V193" s="265"/>
    </row>
    <row r="194" spans="1:22" s="2" customFormat="1" ht="22.8" x14ac:dyDescent="0.25">
      <c r="A194" s="203" t="s">
        <v>806</v>
      </c>
      <c r="B194" s="11" t="s">
        <v>376</v>
      </c>
      <c r="C194" s="182" t="s">
        <v>616</v>
      </c>
      <c r="D194" s="15" t="s">
        <v>5</v>
      </c>
      <c r="E194" s="238">
        <v>6</v>
      </c>
      <c r="F194" s="22">
        <v>235000</v>
      </c>
      <c r="G194" s="22">
        <f>+Tableau82425[[#This Row],[PRIX UNITAIRE (Ar)]]*Tableau82425[[#This Row],[QUANTITE]]</f>
        <v>1410000</v>
      </c>
      <c r="I194" s="251"/>
      <c r="J194" s="251"/>
      <c r="K194" s="251"/>
      <c r="L194" s="251"/>
      <c r="M194" s="251"/>
      <c r="N194" s="251"/>
      <c r="O194" s="251"/>
      <c r="Q194" s="265"/>
      <c r="R194" s="265"/>
      <c r="S194" s="265"/>
      <c r="T194" s="265"/>
      <c r="U194" s="265"/>
      <c r="V194" s="265"/>
    </row>
    <row r="195" spans="1:22" s="2" customFormat="1" ht="22.8" x14ac:dyDescent="0.25">
      <c r="A195" s="203" t="s">
        <v>809</v>
      </c>
      <c r="B195" s="11" t="s">
        <v>327</v>
      </c>
      <c r="C195" s="182" t="s">
        <v>616</v>
      </c>
      <c r="D195" s="15" t="s">
        <v>5</v>
      </c>
      <c r="E195" s="238">
        <v>6</v>
      </c>
      <c r="F195" s="22">
        <v>325600</v>
      </c>
      <c r="G195" s="22">
        <f>+Tableau82425[[#This Row],[PRIX UNITAIRE (Ar)]]*Tableau82425[[#This Row],[QUANTITE]]</f>
        <v>1953600</v>
      </c>
      <c r="I195" s="251"/>
      <c r="J195" s="251"/>
      <c r="K195" s="251"/>
      <c r="L195" s="251"/>
      <c r="M195" s="251"/>
      <c r="N195" s="251"/>
      <c r="O195" s="251"/>
      <c r="Q195" s="265"/>
      <c r="R195" s="265"/>
      <c r="S195" s="265"/>
      <c r="T195" s="265"/>
      <c r="U195" s="265"/>
      <c r="V195" s="265"/>
    </row>
    <row r="196" spans="1:22" s="2" customFormat="1" ht="22.8" x14ac:dyDescent="0.25">
      <c r="A196" s="203" t="s">
        <v>812</v>
      </c>
      <c r="B196" s="11" t="s">
        <v>326</v>
      </c>
      <c r="C196" s="182" t="s">
        <v>616</v>
      </c>
      <c r="D196" s="15" t="s">
        <v>5</v>
      </c>
      <c r="E196" s="238">
        <v>6</v>
      </c>
      <c r="F196" s="22">
        <v>235000</v>
      </c>
      <c r="G196" s="22">
        <f>+Tableau82425[[#This Row],[PRIX UNITAIRE (Ar)]]*Tableau82425[[#This Row],[QUANTITE]]</f>
        <v>1410000</v>
      </c>
      <c r="I196" s="251"/>
      <c r="J196" s="251"/>
      <c r="K196" s="251"/>
      <c r="L196" s="251"/>
      <c r="M196" s="251"/>
      <c r="N196" s="251"/>
      <c r="O196" s="251"/>
      <c r="Q196" s="265"/>
      <c r="R196" s="265"/>
      <c r="S196" s="265"/>
      <c r="T196" s="265"/>
      <c r="U196" s="265"/>
      <c r="V196" s="265"/>
    </row>
    <row r="197" spans="1:22" s="2" customFormat="1" ht="22.8" x14ac:dyDescent="0.25">
      <c r="A197" s="203" t="s">
        <v>815</v>
      </c>
      <c r="B197" s="11" t="s">
        <v>325</v>
      </c>
      <c r="C197" s="182" t="s">
        <v>616</v>
      </c>
      <c r="D197" s="15" t="s">
        <v>5</v>
      </c>
      <c r="E197" s="238">
        <v>3</v>
      </c>
      <c r="F197" s="234">
        <v>1012500</v>
      </c>
      <c r="G197" s="22">
        <f>+Tableau82425[[#This Row],[PRIX UNITAIRE (Ar)]]*Tableau82425[[#This Row],[QUANTITE]]</f>
        <v>3037500</v>
      </c>
      <c r="I197" s="251"/>
      <c r="J197" s="251"/>
      <c r="K197" s="251"/>
      <c r="L197" s="251"/>
      <c r="M197" s="251"/>
      <c r="N197" s="251"/>
      <c r="O197" s="251"/>
      <c r="Q197" s="265"/>
      <c r="R197" s="265"/>
      <c r="S197" s="265"/>
      <c r="T197" s="265"/>
      <c r="U197" s="265"/>
      <c r="V197" s="265"/>
    </row>
    <row r="198" spans="1:22" s="2" customFormat="1" ht="23.4" x14ac:dyDescent="0.25">
      <c r="A198" s="203" t="s">
        <v>818</v>
      </c>
      <c r="B198" s="11" t="s">
        <v>324</v>
      </c>
      <c r="C198" s="182" t="s">
        <v>289</v>
      </c>
      <c r="D198" s="15" t="s">
        <v>5</v>
      </c>
      <c r="E198" s="238">
        <v>12</v>
      </c>
      <c r="F198" s="22">
        <v>23500</v>
      </c>
      <c r="G198" s="22">
        <f>+Tableau82425[[#This Row],[PRIX UNITAIRE (Ar)]]*Tableau82425[[#This Row],[QUANTITE]]</f>
        <v>282000</v>
      </c>
      <c r="I198" s="251"/>
      <c r="J198" s="251"/>
      <c r="K198" s="251"/>
      <c r="L198" s="251"/>
      <c r="M198" s="251"/>
      <c r="N198" s="251"/>
      <c r="O198" s="251"/>
      <c r="Q198" s="265"/>
      <c r="R198" s="265"/>
      <c r="S198" s="265"/>
      <c r="T198" s="265"/>
      <c r="U198" s="265"/>
      <c r="V198" s="265"/>
    </row>
    <row r="199" spans="1:22" s="2" customFormat="1" ht="22.8" x14ac:dyDescent="0.25">
      <c r="A199" s="203" t="s">
        <v>821</v>
      </c>
      <c r="B199" s="11" t="s">
        <v>722</v>
      </c>
      <c r="C199" s="182" t="s">
        <v>723</v>
      </c>
      <c r="D199" s="15" t="s">
        <v>382</v>
      </c>
      <c r="E199" s="238">
        <v>1</v>
      </c>
      <c r="F199" s="22">
        <v>29850000</v>
      </c>
      <c r="G199" s="22">
        <f>+Tableau82425[[#This Row],[PRIX UNITAIRE (Ar)]]*Tableau82425[[#This Row],[QUANTITE]]</f>
        <v>29850000</v>
      </c>
      <c r="I199" s="251"/>
      <c r="J199" s="251"/>
      <c r="K199" s="251"/>
      <c r="L199" s="251"/>
      <c r="M199" s="251"/>
      <c r="N199" s="251"/>
      <c r="O199" s="251"/>
      <c r="Q199" s="265"/>
      <c r="R199" s="265"/>
      <c r="S199" s="265"/>
      <c r="T199" s="265"/>
      <c r="U199" s="265"/>
      <c r="V199" s="265"/>
    </row>
    <row r="200" spans="1:22" s="2" customFormat="1" ht="13.8" x14ac:dyDescent="0.25">
      <c r="A200" s="7" t="s">
        <v>83</v>
      </c>
      <c r="B200" s="8" t="s">
        <v>39</v>
      </c>
      <c r="C200" s="8"/>
      <c r="D200" s="16"/>
      <c r="E200" s="238"/>
      <c r="F200" s="231"/>
      <c r="G200" s="25">
        <f>+SUM(G201:G229)</f>
        <v>183275610</v>
      </c>
      <c r="I200" s="251"/>
      <c r="J200" s="251"/>
      <c r="K200" s="251"/>
      <c r="L200" s="251"/>
      <c r="M200" s="251"/>
      <c r="N200" s="251"/>
      <c r="O200" s="251"/>
      <c r="Q200" s="265"/>
      <c r="R200" s="265"/>
      <c r="S200" s="265"/>
      <c r="T200" s="265"/>
      <c r="U200" s="265"/>
      <c r="V200" s="265"/>
    </row>
    <row r="201" spans="1:22" s="2" customFormat="1" ht="34.200000000000003" x14ac:dyDescent="0.25">
      <c r="A201" s="217" t="s">
        <v>117</v>
      </c>
      <c r="B201" s="218" t="s">
        <v>620</v>
      </c>
      <c r="C201" s="182" t="s">
        <v>444</v>
      </c>
      <c r="D201" s="219" t="s">
        <v>5</v>
      </c>
      <c r="E201" s="243">
        <v>1</v>
      </c>
      <c r="F201" s="22">
        <v>8250000</v>
      </c>
      <c r="G201" s="22">
        <f>+Tableau82425[[#This Row],[PRIX UNITAIRE (Ar)]]*Tableau82425[[#This Row],[QUANTITE]]</f>
        <v>8250000</v>
      </c>
      <c r="I201" s="251"/>
      <c r="J201" s="251"/>
      <c r="K201" s="251"/>
      <c r="L201" s="251"/>
      <c r="M201" s="251"/>
      <c r="N201" s="251"/>
      <c r="O201" s="251"/>
      <c r="Q201" s="265"/>
      <c r="R201" s="265"/>
      <c r="S201" s="265"/>
      <c r="T201" s="265"/>
      <c r="U201" s="265"/>
      <c r="V201" s="265"/>
    </row>
    <row r="202" spans="1:22" s="2" customFormat="1" ht="34.200000000000003" x14ac:dyDescent="0.25">
      <c r="A202" s="217" t="s">
        <v>302</v>
      </c>
      <c r="B202" s="218" t="s">
        <v>631</v>
      </c>
      <c r="C202" s="182" t="s">
        <v>632</v>
      </c>
      <c r="D202" s="219" t="s">
        <v>5</v>
      </c>
      <c r="E202" s="238">
        <v>3</v>
      </c>
      <c r="F202" s="22">
        <v>5640000</v>
      </c>
      <c r="G202" s="22">
        <f>+Tableau82425[[#This Row],[PRIX UNITAIRE (Ar)]]*Tableau82425[[#This Row],[QUANTITE]]</f>
        <v>16920000</v>
      </c>
      <c r="I202" s="251"/>
      <c r="J202" s="251"/>
      <c r="K202" s="251"/>
      <c r="L202" s="251"/>
      <c r="M202" s="251"/>
      <c r="N202" s="251"/>
      <c r="O202" s="251"/>
      <c r="Q202" s="265"/>
      <c r="R202" s="265"/>
      <c r="S202" s="265"/>
      <c r="T202" s="265"/>
      <c r="U202" s="265"/>
      <c r="V202" s="265"/>
    </row>
    <row r="203" spans="1:22" s="2" customFormat="1" ht="45.6" x14ac:dyDescent="0.25">
      <c r="A203" s="217" t="s">
        <v>303</v>
      </c>
      <c r="B203" s="218" t="s">
        <v>621</v>
      </c>
      <c r="C203" s="182" t="s">
        <v>633</v>
      </c>
      <c r="D203" s="219" t="s">
        <v>75</v>
      </c>
      <c r="E203" s="243">
        <v>1</v>
      </c>
      <c r="F203" s="22">
        <v>35780000</v>
      </c>
      <c r="G203" s="22">
        <f>+Tableau82425[[#This Row],[PRIX UNITAIRE (Ar)]]*Tableau82425[[#This Row],[QUANTITE]]</f>
        <v>35780000</v>
      </c>
      <c r="I203" s="251"/>
      <c r="J203" s="251"/>
      <c r="K203" s="251"/>
      <c r="L203" s="251"/>
      <c r="M203" s="251"/>
      <c r="N203" s="251"/>
      <c r="O203" s="251"/>
      <c r="Q203" s="265"/>
      <c r="R203" s="265"/>
      <c r="S203" s="265"/>
      <c r="T203" s="265"/>
      <c r="U203" s="265"/>
      <c r="V203" s="265"/>
    </row>
    <row r="204" spans="1:22" s="2" customFormat="1" ht="34.200000000000003" x14ac:dyDescent="0.25">
      <c r="A204" s="217" t="s">
        <v>304</v>
      </c>
      <c r="B204" s="221" t="s">
        <v>622</v>
      </c>
      <c r="C204" s="182" t="s">
        <v>634</v>
      </c>
      <c r="D204" s="219" t="s">
        <v>75</v>
      </c>
      <c r="E204" s="243">
        <v>1</v>
      </c>
      <c r="F204" s="22">
        <v>3856000</v>
      </c>
      <c r="G204" s="22">
        <f>+Tableau82425[[#This Row],[PRIX UNITAIRE (Ar)]]*Tableau82425[[#This Row],[QUANTITE]]</f>
        <v>3856000</v>
      </c>
      <c r="I204" s="251"/>
      <c r="J204" s="251"/>
      <c r="K204" s="251"/>
      <c r="L204" s="251"/>
      <c r="M204" s="251"/>
      <c r="N204" s="251"/>
      <c r="O204" s="251"/>
      <c r="Q204" s="265"/>
      <c r="R204" s="265"/>
      <c r="S204" s="265"/>
      <c r="T204" s="265"/>
      <c r="U204" s="265"/>
      <c r="V204" s="265"/>
    </row>
    <row r="205" spans="1:22" s="2" customFormat="1" ht="34.200000000000003" x14ac:dyDescent="0.25">
      <c r="A205" s="217" t="s">
        <v>673</v>
      </c>
      <c r="B205" s="218" t="s">
        <v>623</v>
      </c>
      <c r="C205" s="182" t="s">
        <v>62</v>
      </c>
      <c r="D205" s="219" t="s">
        <v>5</v>
      </c>
      <c r="E205" s="243">
        <v>31</v>
      </c>
      <c r="F205" s="22">
        <v>25500</v>
      </c>
      <c r="G205" s="22">
        <f>+Tableau82425[[#This Row],[PRIX UNITAIRE (Ar)]]*Tableau82425[[#This Row],[QUANTITE]]</f>
        <v>790500</v>
      </c>
      <c r="I205" s="251"/>
      <c r="J205" s="251"/>
      <c r="K205" s="251"/>
      <c r="L205" s="251"/>
      <c r="M205" s="251"/>
      <c r="N205" s="251"/>
      <c r="O205" s="251"/>
      <c r="Q205" s="265"/>
      <c r="R205" s="265"/>
      <c r="S205" s="265"/>
      <c r="T205" s="265"/>
      <c r="U205" s="265"/>
      <c r="V205" s="265"/>
    </row>
    <row r="206" spans="1:22" s="2" customFormat="1" ht="34.200000000000003" x14ac:dyDescent="0.25">
      <c r="A206" s="217" t="s">
        <v>674</v>
      </c>
      <c r="B206" s="218" t="s">
        <v>624</v>
      </c>
      <c r="C206" s="182" t="s">
        <v>635</v>
      </c>
      <c r="D206" s="219" t="s">
        <v>5</v>
      </c>
      <c r="E206" s="243">
        <v>17</v>
      </c>
      <c r="F206" s="22">
        <v>32450</v>
      </c>
      <c r="G206" s="22">
        <f>+Tableau82425[[#This Row],[PRIX UNITAIRE (Ar)]]*Tableau82425[[#This Row],[QUANTITE]]</f>
        <v>551650</v>
      </c>
      <c r="I206" s="251"/>
      <c r="J206" s="251"/>
      <c r="K206" s="251"/>
      <c r="L206" s="251"/>
      <c r="M206" s="251"/>
      <c r="N206" s="251"/>
      <c r="O206" s="251"/>
      <c r="Q206" s="265"/>
      <c r="R206" s="265"/>
      <c r="S206" s="265"/>
      <c r="T206" s="265"/>
      <c r="U206" s="265"/>
      <c r="V206" s="265"/>
    </row>
    <row r="207" spans="1:22" s="2" customFormat="1" ht="34.200000000000003" x14ac:dyDescent="0.25">
      <c r="A207" s="217" t="s">
        <v>305</v>
      </c>
      <c r="B207" s="218" t="s">
        <v>684</v>
      </c>
      <c r="C207" s="182" t="s">
        <v>893</v>
      </c>
      <c r="D207" s="219" t="s">
        <v>5</v>
      </c>
      <c r="E207" s="238">
        <v>2</v>
      </c>
      <c r="F207" s="22">
        <v>35700</v>
      </c>
      <c r="G207" s="22">
        <f>+Tableau82425[[#This Row],[PRIX UNITAIRE (Ar)]]*Tableau82425[[#This Row],[QUANTITE]]</f>
        <v>71400</v>
      </c>
      <c r="I207" s="251"/>
      <c r="J207" s="251"/>
      <c r="K207" s="251"/>
      <c r="L207" s="251"/>
      <c r="M207" s="251"/>
      <c r="N207" s="251"/>
      <c r="O207" s="251"/>
      <c r="Q207" s="265"/>
      <c r="R207" s="265"/>
      <c r="S207" s="265"/>
      <c r="T207" s="265"/>
      <c r="U207" s="265"/>
      <c r="V207" s="265"/>
    </row>
    <row r="208" spans="1:22" s="2" customFormat="1" ht="34.200000000000003" x14ac:dyDescent="0.25">
      <c r="A208" s="217" t="s">
        <v>675</v>
      </c>
      <c r="B208" s="218" t="s">
        <v>625</v>
      </c>
      <c r="C208" s="182" t="s">
        <v>894</v>
      </c>
      <c r="D208" s="219" t="s">
        <v>5</v>
      </c>
      <c r="E208" s="243">
        <v>20</v>
      </c>
      <c r="F208" s="22">
        <v>28900</v>
      </c>
      <c r="G208" s="22">
        <f>+Tableau82425[[#This Row],[PRIX UNITAIRE (Ar)]]*Tableau82425[[#This Row],[QUANTITE]]</f>
        <v>578000</v>
      </c>
      <c r="I208" s="251"/>
      <c r="J208" s="251"/>
      <c r="K208" s="251"/>
      <c r="L208" s="251"/>
      <c r="M208" s="251"/>
      <c r="N208" s="251"/>
      <c r="O208" s="251"/>
      <c r="Q208" s="265"/>
      <c r="R208" s="265"/>
      <c r="S208" s="265"/>
      <c r="T208" s="265"/>
      <c r="U208" s="265"/>
      <c r="V208" s="265"/>
    </row>
    <row r="209" spans="1:22" s="2" customFormat="1" ht="22.8" x14ac:dyDescent="0.25">
      <c r="A209" s="217" t="s">
        <v>306</v>
      </c>
      <c r="B209" s="218" t="s">
        <v>685</v>
      </c>
      <c r="C209" s="182" t="s">
        <v>686</v>
      </c>
      <c r="D209" s="220" t="s">
        <v>5</v>
      </c>
      <c r="E209" s="243">
        <v>4</v>
      </c>
      <c r="F209" s="22">
        <v>185600</v>
      </c>
      <c r="G209" s="22">
        <f>+Tableau82425[[#This Row],[PRIX UNITAIRE (Ar)]]*Tableau82425[[#This Row],[QUANTITE]]</f>
        <v>742400</v>
      </c>
      <c r="I209" s="251"/>
      <c r="J209" s="251"/>
      <c r="K209" s="251"/>
      <c r="L209" s="251"/>
      <c r="M209" s="251"/>
      <c r="N209" s="251"/>
      <c r="O209" s="251"/>
      <c r="Q209" s="265"/>
      <c r="R209" s="265"/>
      <c r="S209" s="265"/>
      <c r="T209" s="265"/>
      <c r="U209" s="265"/>
      <c r="V209" s="265"/>
    </row>
    <row r="210" spans="1:22" s="2" customFormat="1" ht="22.8" x14ac:dyDescent="0.25">
      <c r="A210" s="217" t="s">
        <v>676</v>
      </c>
      <c r="B210" s="218" t="s">
        <v>626</v>
      </c>
      <c r="C210" s="182" t="s">
        <v>687</v>
      </c>
      <c r="D210" s="220" t="s">
        <v>5</v>
      </c>
      <c r="E210" s="243">
        <v>7</v>
      </c>
      <c r="F210" s="22">
        <f>+F209</f>
        <v>185600</v>
      </c>
      <c r="G210" s="22">
        <f>+Tableau82425[[#This Row],[PRIX UNITAIRE (Ar)]]*Tableau82425[[#This Row],[QUANTITE]]</f>
        <v>1299200</v>
      </c>
      <c r="I210" s="251"/>
      <c r="J210" s="251"/>
      <c r="K210" s="251"/>
      <c r="L210" s="251"/>
      <c r="M210" s="251"/>
      <c r="N210" s="251"/>
      <c r="O210" s="251"/>
      <c r="Q210" s="265"/>
      <c r="R210" s="265"/>
      <c r="S210" s="265"/>
      <c r="T210" s="265"/>
      <c r="U210" s="265"/>
      <c r="V210" s="265"/>
    </row>
    <row r="211" spans="1:22" s="2" customFormat="1" ht="22.8" x14ac:dyDescent="0.25">
      <c r="A211" s="217" t="s">
        <v>677</v>
      </c>
      <c r="B211" s="218" t="s">
        <v>627</v>
      </c>
      <c r="C211" s="182" t="s">
        <v>688</v>
      </c>
      <c r="D211" s="220" t="s">
        <v>5</v>
      </c>
      <c r="E211" s="243">
        <v>12</v>
      </c>
      <c r="F211" s="22">
        <v>245300</v>
      </c>
      <c r="G211" s="22">
        <f>+Tableau82425[[#This Row],[PRIX UNITAIRE (Ar)]]*Tableau82425[[#This Row],[QUANTITE]]</f>
        <v>2943600</v>
      </c>
      <c r="I211" s="251"/>
      <c r="J211" s="251"/>
      <c r="K211" s="251"/>
      <c r="L211" s="251"/>
      <c r="M211" s="251"/>
      <c r="N211" s="251"/>
      <c r="O211" s="251"/>
      <c r="Q211" s="265"/>
      <c r="R211" s="265"/>
      <c r="S211" s="265"/>
      <c r="T211" s="265"/>
      <c r="U211" s="265"/>
      <c r="V211" s="265"/>
    </row>
    <row r="212" spans="1:22" s="2" customFormat="1" ht="22.8" x14ac:dyDescent="0.25">
      <c r="A212" s="217" t="s">
        <v>678</v>
      </c>
      <c r="B212" s="218" t="s">
        <v>628</v>
      </c>
      <c r="C212" s="182" t="s">
        <v>687</v>
      </c>
      <c r="D212" s="220" t="s">
        <v>5</v>
      </c>
      <c r="E212" s="243">
        <v>24</v>
      </c>
      <c r="F212" s="22">
        <v>198600</v>
      </c>
      <c r="G212" s="22">
        <f>+Tableau82425[[#This Row],[PRIX UNITAIRE (Ar)]]*Tableau82425[[#This Row],[QUANTITE]]</f>
        <v>4766400</v>
      </c>
      <c r="I212" s="251"/>
      <c r="J212" s="251"/>
      <c r="K212" s="251"/>
      <c r="L212" s="251"/>
      <c r="M212" s="251"/>
      <c r="N212" s="251"/>
      <c r="O212" s="251"/>
      <c r="Q212" s="265"/>
      <c r="R212" s="265"/>
      <c r="S212" s="265"/>
      <c r="T212" s="265"/>
      <c r="U212" s="265"/>
      <c r="V212" s="265"/>
    </row>
    <row r="213" spans="1:22" s="2" customFormat="1" ht="22.8" x14ac:dyDescent="0.2">
      <c r="A213" s="217" t="s">
        <v>679</v>
      </c>
      <c r="B213" s="218" t="s">
        <v>689</v>
      </c>
      <c r="C213" s="182" t="s">
        <v>687</v>
      </c>
      <c r="D213" s="232" t="s">
        <v>6</v>
      </c>
      <c r="E213" s="238">
        <v>64.7</v>
      </c>
      <c r="F213" s="22">
        <v>45800</v>
      </c>
      <c r="G213" s="22">
        <f>+Tableau82425[[#This Row],[PRIX UNITAIRE (Ar)]]*Tableau82425[[#This Row],[QUANTITE]]</f>
        <v>2963260</v>
      </c>
      <c r="I213" s="251"/>
      <c r="J213" s="251"/>
      <c r="K213" s="251"/>
      <c r="L213" s="251"/>
      <c r="M213" s="251"/>
      <c r="N213" s="251"/>
      <c r="O213" s="251"/>
      <c r="Q213" s="265"/>
      <c r="R213" s="265"/>
      <c r="S213" s="265"/>
      <c r="T213" s="265"/>
      <c r="U213" s="265"/>
      <c r="V213" s="265"/>
    </row>
    <row r="214" spans="1:22" s="2" customFormat="1" ht="22.8" x14ac:dyDescent="0.25">
      <c r="A214" s="217" t="s">
        <v>307</v>
      </c>
      <c r="B214" s="218" t="s">
        <v>629</v>
      </c>
      <c r="C214" s="182" t="s">
        <v>688</v>
      </c>
      <c r="D214" s="220" t="s">
        <v>5</v>
      </c>
      <c r="E214" s="243">
        <v>6</v>
      </c>
      <c r="F214" s="22">
        <v>105800</v>
      </c>
      <c r="G214" s="22">
        <f>+Tableau82425[[#This Row],[PRIX UNITAIRE (Ar)]]*Tableau82425[[#This Row],[QUANTITE]]</f>
        <v>634800</v>
      </c>
      <c r="I214" s="251"/>
      <c r="J214" s="251"/>
      <c r="K214" s="251"/>
      <c r="L214" s="251"/>
      <c r="M214" s="251"/>
      <c r="N214" s="251"/>
      <c r="O214" s="251"/>
      <c r="Q214" s="265"/>
      <c r="R214" s="265"/>
      <c r="S214" s="265"/>
      <c r="T214" s="265"/>
      <c r="U214" s="265"/>
      <c r="V214" s="265"/>
    </row>
    <row r="215" spans="1:22" s="2" customFormat="1" ht="22.8" x14ac:dyDescent="0.25">
      <c r="A215" s="217" t="s">
        <v>308</v>
      </c>
      <c r="B215" s="218" t="s">
        <v>690</v>
      </c>
      <c r="C215" s="182" t="s">
        <v>687</v>
      </c>
      <c r="D215" s="220" t="s">
        <v>5</v>
      </c>
      <c r="E215" s="243">
        <v>21</v>
      </c>
      <c r="F215" s="22">
        <v>145600</v>
      </c>
      <c r="G215" s="22">
        <f>+Tableau82425[[#This Row],[PRIX UNITAIRE (Ar)]]*Tableau82425[[#This Row],[QUANTITE]]</f>
        <v>3057600</v>
      </c>
      <c r="I215" s="251"/>
      <c r="J215" s="251"/>
      <c r="K215" s="251"/>
      <c r="L215" s="251"/>
      <c r="M215" s="251"/>
      <c r="N215" s="251"/>
      <c r="O215" s="251"/>
      <c r="Q215" s="265"/>
      <c r="R215" s="265"/>
      <c r="S215" s="265"/>
      <c r="T215" s="265"/>
      <c r="U215" s="265"/>
      <c r="V215" s="265"/>
    </row>
    <row r="216" spans="1:22" s="2" customFormat="1" ht="22.8" x14ac:dyDescent="0.25">
      <c r="A216" s="217" t="s">
        <v>309</v>
      </c>
      <c r="B216" s="218" t="s">
        <v>691</v>
      </c>
      <c r="C216" s="182" t="s">
        <v>687</v>
      </c>
      <c r="D216" s="220" t="s">
        <v>5</v>
      </c>
      <c r="E216" s="238">
        <v>9</v>
      </c>
      <c r="F216" s="22">
        <v>350000</v>
      </c>
      <c r="G216" s="22">
        <f>+Tableau82425[[#This Row],[PRIX UNITAIRE (Ar)]]*Tableau82425[[#This Row],[QUANTITE]]</f>
        <v>3150000</v>
      </c>
      <c r="I216" s="251"/>
      <c r="J216" s="251"/>
      <c r="K216" s="251"/>
      <c r="L216" s="251"/>
      <c r="M216" s="251"/>
      <c r="N216" s="251"/>
      <c r="O216" s="251"/>
      <c r="Q216" s="265"/>
      <c r="R216" s="265"/>
      <c r="S216" s="265"/>
      <c r="T216" s="265"/>
      <c r="U216" s="265"/>
      <c r="V216" s="265"/>
    </row>
    <row r="217" spans="1:22" s="2" customFormat="1" ht="22.8" x14ac:dyDescent="0.25">
      <c r="A217" s="217" t="s">
        <v>310</v>
      </c>
      <c r="B217" s="218" t="s">
        <v>692</v>
      </c>
      <c r="C217" s="182" t="s">
        <v>687</v>
      </c>
      <c r="D217" s="220" t="s">
        <v>5</v>
      </c>
      <c r="E217" s="238">
        <v>10</v>
      </c>
      <c r="F217" s="22">
        <v>265700</v>
      </c>
      <c r="G217" s="22">
        <f>+Tableau82425[[#This Row],[PRIX UNITAIRE (Ar)]]*Tableau82425[[#This Row],[QUANTITE]]</f>
        <v>2657000</v>
      </c>
      <c r="I217" s="251"/>
      <c r="J217" s="251"/>
      <c r="K217" s="251"/>
      <c r="L217" s="251"/>
      <c r="M217" s="251"/>
      <c r="N217" s="251"/>
      <c r="O217" s="251"/>
      <c r="Q217" s="265"/>
      <c r="R217" s="265"/>
      <c r="S217" s="265"/>
      <c r="T217" s="265"/>
      <c r="U217" s="265"/>
      <c r="V217" s="265"/>
    </row>
    <row r="218" spans="1:22" s="2" customFormat="1" ht="34.200000000000003" x14ac:dyDescent="0.25">
      <c r="A218" s="217" t="s">
        <v>311</v>
      </c>
      <c r="B218" s="218" t="s">
        <v>630</v>
      </c>
      <c r="C218" s="182" t="s">
        <v>693</v>
      </c>
      <c r="D218" s="220" t="s">
        <v>5</v>
      </c>
      <c r="E218" s="243">
        <v>47</v>
      </c>
      <c r="F218" s="22">
        <v>42500</v>
      </c>
      <c r="G218" s="22">
        <f>+Tableau82425[[#This Row],[PRIX UNITAIRE (Ar)]]*Tableau82425[[#This Row],[QUANTITE]]</f>
        <v>1997500</v>
      </c>
      <c r="I218" s="251"/>
      <c r="J218" s="251"/>
      <c r="K218" s="251"/>
      <c r="L218" s="251"/>
      <c r="M218" s="251"/>
      <c r="N218" s="251"/>
      <c r="O218" s="251"/>
      <c r="Q218" s="265"/>
      <c r="R218" s="265"/>
      <c r="S218" s="265"/>
      <c r="T218" s="265"/>
      <c r="U218" s="265"/>
      <c r="V218" s="265"/>
    </row>
    <row r="219" spans="1:22" s="2" customFormat="1" ht="34.200000000000003" x14ac:dyDescent="0.25">
      <c r="A219" s="217" t="s">
        <v>312</v>
      </c>
      <c r="B219" s="218" t="s">
        <v>636</v>
      </c>
      <c r="C219" s="182" t="s">
        <v>694</v>
      </c>
      <c r="D219" s="220" t="s">
        <v>5</v>
      </c>
      <c r="E219" s="243">
        <v>11</v>
      </c>
      <c r="F219" s="22">
        <f>+F218</f>
        <v>42500</v>
      </c>
      <c r="G219" s="22">
        <f>+Tableau82425[[#This Row],[PRIX UNITAIRE (Ar)]]*Tableau82425[[#This Row],[QUANTITE]]</f>
        <v>467500</v>
      </c>
      <c r="I219" s="251"/>
      <c r="J219" s="251"/>
      <c r="K219" s="251"/>
      <c r="L219" s="251"/>
      <c r="M219" s="251"/>
      <c r="N219" s="251"/>
      <c r="O219" s="251"/>
      <c r="Q219" s="265"/>
      <c r="R219" s="265"/>
      <c r="S219" s="265"/>
      <c r="T219" s="265"/>
      <c r="U219" s="265"/>
      <c r="V219" s="265"/>
    </row>
    <row r="220" spans="1:22" s="2" customFormat="1" ht="34.200000000000003" x14ac:dyDescent="0.25">
      <c r="A220" s="217" t="s">
        <v>717</v>
      </c>
      <c r="B220" s="218" t="s">
        <v>695</v>
      </c>
      <c r="C220" s="182" t="s">
        <v>696</v>
      </c>
      <c r="D220" s="220" t="s">
        <v>5</v>
      </c>
      <c r="E220" s="238">
        <v>5</v>
      </c>
      <c r="F220" s="22">
        <f>+F219</f>
        <v>42500</v>
      </c>
      <c r="G220" s="22">
        <f>+Tableau82425[[#This Row],[PRIX UNITAIRE (Ar)]]*Tableau82425[[#This Row],[QUANTITE]]</f>
        <v>212500</v>
      </c>
      <c r="I220" s="251"/>
      <c r="J220" s="251"/>
      <c r="K220" s="251"/>
      <c r="L220" s="251"/>
      <c r="M220" s="251"/>
      <c r="N220" s="251"/>
      <c r="O220" s="251"/>
      <c r="Q220" s="265"/>
      <c r="R220" s="265"/>
      <c r="S220" s="265"/>
      <c r="T220" s="265"/>
      <c r="U220" s="265"/>
      <c r="V220" s="265"/>
    </row>
    <row r="221" spans="1:22" s="2" customFormat="1" ht="34.200000000000003" x14ac:dyDescent="0.25">
      <c r="A221" s="217" t="s">
        <v>912</v>
      </c>
      <c r="B221" s="218" t="s">
        <v>697</v>
      </c>
      <c r="C221" s="182" t="s">
        <v>698</v>
      </c>
      <c r="D221" s="220" t="s">
        <v>5</v>
      </c>
      <c r="E221" s="238">
        <v>12</v>
      </c>
      <c r="F221" s="22">
        <f>+F220</f>
        <v>42500</v>
      </c>
      <c r="G221" s="22">
        <f>+Tableau82425[[#This Row],[PRIX UNITAIRE (Ar)]]*Tableau82425[[#This Row],[QUANTITE]]</f>
        <v>510000</v>
      </c>
      <c r="I221" s="251"/>
      <c r="J221" s="251"/>
      <c r="K221" s="251"/>
      <c r="L221" s="251"/>
      <c r="M221" s="251"/>
      <c r="N221" s="251"/>
      <c r="O221" s="251"/>
      <c r="Q221" s="265"/>
      <c r="R221" s="265"/>
      <c r="S221" s="265"/>
      <c r="T221" s="265"/>
      <c r="U221" s="265"/>
      <c r="V221" s="265"/>
    </row>
    <row r="222" spans="1:22" s="2" customFormat="1" ht="34.200000000000003" x14ac:dyDescent="0.25">
      <c r="A222" s="217" t="s">
        <v>913</v>
      </c>
      <c r="B222" s="218" t="s">
        <v>699</v>
      </c>
      <c r="C222" s="182" t="s">
        <v>700</v>
      </c>
      <c r="D222" s="220" t="s">
        <v>5</v>
      </c>
      <c r="E222" s="238">
        <v>4</v>
      </c>
      <c r="F222" s="22">
        <f>+F220</f>
        <v>42500</v>
      </c>
      <c r="G222" s="22">
        <f>+Tableau82425[[#This Row],[PRIX UNITAIRE (Ar)]]*Tableau82425[[#This Row],[QUANTITE]]</f>
        <v>170000</v>
      </c>
      <c r="I222" s="251"/>
      <c r="J222" s="251"/>
      <c r="K222" s="251"/>
      <c r="L222" s="251"/>
      <c r="M222" s="251"/>
      <c r="N222" s="251"/>
      <c r="O222" s="251"/>
      <c r="Q222" s="265"/>
      <c r="R222" s="265"/>
      <c r="S222" s="265"/>
      <c r="T222" s="265"/>
      <c r="U222" s="265"/>
      <c r="V222" s="265"/>
    </row>
    <row r="223" spans="1:22" s="2" customFormat="1" ht="34.200000000000003" x14ac:dyDescent="0.25">
      <c r="A223" s="217" t="s">
        <v>914</v>
      </c>
      <c r="B223" s="218" t="s">
        <v>701</v>
      </c>
      <c r="C223" s="182" t="s">
        <v>702</v>
      </c>
      <c r="D223" s="220" t="s">
        <v>5</v>
      </c>
      <c r="E223" s="238">
        <v>3</v>
      </c>
      <c r="F223" s="22">
        <v>75200</v>
      </c>
      <c r="G223" s="22">
        <f>+Tableau82425[[#This Row],[PRIX UNITAIRE (Ar)]]*Tableau82425[[#This Row],[QUANTITE]]</f>
        <v>225600</v>
      </c>
      <c r="I223" s="251"/>
      <c r="J223" s="251"/>
      <c r="K223" s="251"/>
      <c r="L223" s="251"/>
      <c r="M223" s="251"/>
      <c r="N223" s="251"/>
      <c r="O223" s="251"/>
      <c r="Q223" s="265"/>
      <c r="R223" s="265"/>
      <c r="S223" s="265"/>
      <c r="T223" s="265"/>
      <c r="U223" s="265"/>
      <c r="V223" s="265"/>
    </row>
    <row r="224" spans="1:22" s="2" customFormat="1" ht="34.200000000000003" x14ac:dyDescent="0.25">
      <c r="A224" s="217" t="s">
        <v>915</v>
      </c>
      <c r="B224" s="218" t="s">
        <v>703</v>
      </c>
      <c r="C224" s="182" t="s">
        <v>704</v>
      </c>
      <c r="D224" s="220" t="s">
        <v>5</v>
      </c>
      <c r="E224" s="238">
        <v>8</v>
      </c>
      <c r="F224" s="22">
        <f>+F219</f>
        <v>42500</v>
      </c>
      <c r="G224" s="22">
        <f>+Tableau82425[[#This Row],[PRIX UNITAIRE (Ar)]]*Tableau82425[[#This Row],[QUANTITE]]</f>
        <v>340000</v>
      </c>
      <c r="I224" s="251"/>
      <c r="J224" s="251"/>
      <c r="K224" s="251"/>
      <c r="L224" s="251"/>
      <c r="M224" s="251"/>
      <c r="N224" s="251"/>
      <c r="O224" s="251"/>
      <c r="Q224" s="265"/>
      <c r="R224" s="265"/>
      <c r="S224" s="265"/>
      <c r="T224" s="265"/>
      <c r="U224" s="265"/>
      <c r="V224" s="265"/>
    </row>
    <row r="225" spans="1:22" s="2" customFormat="1" ht="34.200000000000003" x14ac:dyDescent="0.25">
      <c r="A225" s="217" t="s">
        <v>916</v>
      </c>
      <c r="B225" s="218" t="s">
        <v>705</v>
      </c>
      <c r="C225" s="182" t="s">
        <v>706</v>
      </c>
      <c r="D225" s="220" t="s">
        <v>5</v>
      </c>
      <c r="E225" s="238">
        <v>9</v>
      </c>
      <c r="F225" s="22">
        <f>+F220</f>
        <v>42500</v>
      </c>
      <c r="G225" s="22">
        <f>+Tableau82425[[#This Row],[PRIX UNITAIRE (Ar)]]*Tableau82425[[#This Row],[QUANTITE]]</f>
        <v>382500</v>
      </c>
      <c r="I225" s="251"/>
      <c r="J225" s="251"/>
      <c r="K225" s="251"/>
      <c r="L225" s="251"/>
      <c r="M225" s="251"/>
      <c r="N225" s="251"/>
      <c r="O225" s="251"/>
      <c r="Q225" s="265"/>
      <c r="R225" s="265"/>
      <c r="S225" s="265"/>
      <c r="T225" s="265"/>
      <c r="U225" s="265"/>
      <c r="V225" s="265"/>
    </row>
    <row r="226" spans="1:22" s="2" customFormat="1" ht="22.8" x14ac:dyDescent="0.25">
      <c r="A226" s="217" t="s">
        <v>1007</v>
      </c>
      <c r="B226" s="218" t="s">
        <v>895</v>
      </c>
      <c r="C226" s="182" t="s">
        <v>707</v>
      </c>
      <c r="D226" s="220" t="s">
        <v>5</v>
      </c>
      <c r="E226" s="238">
        <v>3</v>
      </c>
      <c r="F226" s="22">
        <v>25800000</v>
      </c>
      <c r="G226" s="22">
        <f>+Tableau82425[[#This Row],[PRIX UNITAIRE (Ar)]]*Tableau82425[[#This Row],[QUANTITE]]</f>
        <v>77400000</v>
      </c>
      <c r="I226" s="251"/>
      <c r="J226" s="251"/>
      <c r="K226" s="251"/>
      <c r="L226" s="251"/>
      <c r="M226" s="251"/>
      <c r="N226" s="251"/>
      <c r="O226" s="251"/>
      <c r="Q226" s="265"/>
      <c r="R226" s="265"/>
      <c r="S226" s="265"/>
      <c r="T226" s="265"/>
      <c r="U226" s="265"/>
      <c r="V226" s="265"/>
    </row>
    <row r="227" spans="1:22" s="2" customFormat="1" ht="22.8" x14ac:dyDescent="0.25">
      <c r="A227" s="217" t="s">
        <v>1008</v>
      </c>
      <c r="B227" s="218" t="s">
        <v>708</v>
      </c>
      <c r="C227" s="182" t="s">
        <v>709</v>
      </c>
      <c r="D227" s="220" t="s">
        <v>5</v>
      </c>
      <c r="E227" s="238">
        <v>14</v>
      </c>
      <c r="F227" s="22">
        <v>198700</v>
      </c>
      <c r="G227" s="22">
        <f>+Tableau82425[[#This Row],[PRIX UNITAIRE (Ar)]]*Tableau82425[[#This Row],[QUANTITE]]</f>
        <v>2781800</v>
      </c>
      <c r="I227" s="251"/>
      <c r="J227" s="251"/>
      <c r="K227" s="251"/>
      <c r="L227" s="251"/>
      <c r="M227" s="251"/>
      <c r="N227" s="251"/>
      <c r="O227" s="251"/>
      <c r="Q227" s="265"/>
      <c r="R227" s="265"/>
      <c r="S227" s="265"/>
      <c r="T227" s="265"/>
      <c r="U227" s="265"/>
      <c r="V227" s="265"/>
    </row>
    <row r="228" spans="1:22" s="2" customFormat="1" ht="22.8" x14ac:dyDescent="0.25">
      <c r="A228" s="217" t="s">
        <v>1009</v>
      </c>
      <c r="B228" s="11" t="s">
        <v>710</v>
      </c>
      <c r="C228" s="182" t="s">
        <v>637</v>
      </c>
      <c r="D228" s="15" t="s">
        <v>5</v>
      </c>
      <c r="E228" s="238">
        <v>4</v>
      </c>
      <c r="F228" s="22">
        <v>468900</v>
      </c>
      <c r="G228" s="22">
        <f>+Tableau82425[[#This Row],[PRIX UNITAIRE (Ar)]]*Tableau82425[[#This Row],[QUANTITE]]</f>
        <v>1875600</v>
      </c>
      <c r="I228" s="251"/>
      <c r="J228" s="251"/>
      <c r="K228" s="251"/>
      <c r="L228" s="251"/>
      <c r="M228" s="251"/>
      <c r="N228" s="251"/>
      <c r="O228" s="251"/>
      <c r="Q228" s="265"/>
      <c r="R228" s="265"/>
      <c r="S228" s="265"/>
      <c r="T228" s="265"/>
      <c r="U228" s="265"/>
      <c r="V228" s="265"/>
    </row>
    <row r="229" spans="1:22" s="2" customFormat="1" ht="22.8" x14ac:dyDescent="0.25">
      <c r="A229" s="217" t="s">
        <v>1010</v>
      </c>
      <c r="B229" s="11" t="s">
        <v>714</v>
      </c>
      <c r="C229" s="182" t="s">
        <v>715</v>
      </c>
      <c r="D229" s="15" t="s">
        <v>5</v>
      </c>
      <c r="E229" s="238">
        <v>12</v>
      </c>
      <c r="F229" s="22">
        <v>658400</v>
      </c>
      <c r="G229" s="22">
        <f>+Tableau82425[[#This Row],[PRIX UNITAIRE (Ar)]]*Tableau82425[[#This Row],[QUANTITE]]</f>
        <v>7900800</v>
      </c>
      <c r="I229" s="251"/>
      <c r="J229" s="251"/>
      <c r="K229" s="251"/>
      <c r="L229" s="251"/>
      <c r="M229" s="251"/>
      <c r="N229" s="251"/>
      <c r="O229" s="251"/>
      <c r="Q229" s="265"/>
      <c r="R229" s="265"/>
      <c r="S229" s="265"/>
      <c r="T229" s="265"/>
      <c r="U229" s="265"/>
      <c r="V229" s="265"/>
    </row>
    <row r="230" spans="1:22" s="2" customFormat="1" ht="13.8" x14ac:dyDescent="0.25">
      <c r="A230" s="7" t="s">
        <v>83</v>
      </c>
      <c r="B230" s="8" t="s">
        <v>671</v>
      </c>
      <c r="C230" s="182"/>
      <c r="D230" s="15"/>
      <c r="E230" s="238"/>
      <c r="F230" s="20"/>
      <c r="G230" s="25">
        <f>+G231</f>
        <v>26250000</v>
      </c>
      <c r="I230" s="251"/>
      <c r="J230" s="251"/>
      <c r="K230" s="251"/>
      <c r="L230" s="251"/>
      <c r="M230" s="251"/>
      <c r="N230" s="251"/>
      <c r="O230" s="251"/>
      <c r="Q230" s="265"/>
      <c r="R230" s="265"/>
      <c r="S230" s="265"/>
      <c r="T230" s="265"/>
      <c r="U230" s="265"/>
      <c r="V230" s="265"/>
    </row>
    <row r="231" spans="1:22" s="2" customFormat="1" ht="68.400000000000006" x14ac:dyDescent="0.25">
      <c r="A231" s="203" t="s">
        <v>716</v>
      </c>
      <c r="B231" s="224" t="s">
        <v>683</v>
      </c>
      <c r="C231" s="182" t="s">
        <v>682</v>
      </c>
      <c r="D231" s="15" t="s">
        <v>5</v>
      </c>
      <c r="E231" s="238">
        <v>7</v>
      </c>
      <c r="F231" s="22">
        <v>3750000</v>
      </c>
      <c r="G231" s="22">
        <f>+Tableau82425[[#This Row],[PRIX UNITAIRE (Ar)]]*Tableau82425[[#This Row],[QUANTITE]]</f>
        <v>26250000</v>
      </c>
      <c r="I231" s="251"/>
      <c r="J231" s="251"/>
      <c r="K231" s="251"/>
      <c r="L231" s="251"/>
      <c r="M231" s="251"/>
      <c r="N231" s="251"/>
      <c r="O231" s="251"/>
      <c r="Q231" s="265"/>
      <c r="R231" s="265"/>
      <c r="S231" s="265"/>
      <c r="T231" s="265"/>
      <c r="U231" s="265"/>
      <c r="V231" s="265"/>
    </row>
    <row r="232" spans="1:22" s="2" customFormat="1" ht="13.8" x14ac:dyDescent="0.25">
      <c r="A232" s="7" t="s">
        <v>91</v>
      </c>
      <c r="B232" s="223" t="s">
        <v>29</v>
      </c>
      <c r="C232" s="182"/>
      <c r="D232" s="15"/>
      <c r="E232" s="238"/>
      <c r="F232" s="20"/>
      <c r="G232" s="25">
        <f>+SUM(G233:G235)</f>
        <v>56985254</v>
      </c>
      <c r="I232" s="251"/>
      <c r="J232" s="251"/>
      <c r="K232" s="251"/>
      <c r="L232" s="251"/>
      <c r="M232" s="251"/>
      <c r="N232" s="251"/>
      <c r="O232" s="251"/>
      <c r="Q232" s="265"/>
      <c r="R232" s="265"/>
      <c r="S232" s="265"/>
      <c r="T232" s="265"/>
      <c r="U232" s="265"/>
      <c r="V232" s="265"/>
    </row>
    <row r="233" spans="1:22" s="2" customFormat="1" ht="79.8" x14ac:dyDescent="0.25">
      <c r="A233" s="203" t="s">
        <v>395</v>
      </c>
      <c r="B233" s="193" t="s">
        <v>891</v>
      </c>
      <c r="C233" s="182" t="s">
        <v>680</v>
      </c>
      <c r="D233" s="15" t="s">
        <v>6</v>
      </c>
      <c r="E233" s="238">
        <v>27.5</v>
      </c>
      <c r="F233" s="22">
        <v>1350000</v>
      </c>
      <c r="G233" s="22">
        <f>+Tableau82425[[#This Row],[PRIX UNITAIRE (Ar)]]*Tableau82425[[#This Row],[QUANTITE]]</f>
        <v>37125000</v>
      </c>
      <c r="I233" s="251"/>
      <c r="J233" s="251"/>
      <c r="K233" s="251"/>
      <c r="L233" s="251"/>
      <c r="M233" s="251"/>
      <c r="N233" s="251"/>
      <c r="O233" s="251"/>
      <c r="Q233" s="265"/>
      <c r="R233" s="265"/>
      <c r="S233" s="265"/>
      <c r="T233" s="265"/>
      <c r="U233" s="265"/>
      <c r="V233" s="265"/>
    </row>
    <row r="234" spans="1:22" s="2" customFormat="1" ht="45.6" x14ac:dyDescent="0.25">
      <c r="A234" s="203" t="s">
        <v>1011</v>
      </c>
      <c r="B234" s="193" t="s">
        <v>888</v>
      </c>
      <c r="C234" s="182" t="s">
        <v>889</v>
      </c>
      <c r="D234" s="15" t="s">
        <v>7</v>
      </c>
      <c r="E234" s="238">
        <v>69.52</v>
      </c>
      <c r="F234" s="22">
        <v>115200</v>
      </c>
      <c r="G234" s="22">
        <f>+Tableau82425[[#This Row],[PRIX UNITAIRE (Ar)]]*Tableau82425[[#This Row],[QUANTITE]]</f>
        <v>8008704</v>
      </c>
      <c r="I234" s="251"/>
      <c r="J234" s="251"/>
      <c r="K234" s="251"/>
      <c r="L234" s="251"/>
      <c r="M234" s="251"/>
      <c r="N234" s="251"/>
      <c r="O234" s="251"/>
      <c r="Q234" s="265"/>
      <c r="R234" s="265"/>
      <c r="S234" s="265"/>
      <c r="T234" s="265"/>
      <c r="U234" s="265"/>
      <c r="V234" s="265"/>
    </row>
    <row r="235" spans="1:22" s="2" customFormat="1" ht="22.8" x14ac:dyDescent="0.25">
      <c r="A235" s="203" t="s">
        <v>1012</v>
      </c>
      <c r="B235" s="193" t="s">
        <v>892</v>
      </c>
      <c r="C235" s="182" t="s">
        <v>890</v>
      </c>
      <c r="D235" s="15" t="s">
        <v>7</v>
      </c>
      <c r="E235" s="238">
        <v>124.1</v>
      </c>
      <c r="F235" s="22">
        <v>95500</v>
      </c>
      <c r="G235" s="22">
        <f>+Tableau82425[[#This Row],[PRIX UNITAIRE (Ar)]]*Tableau82425[[#This Row],[QUANTITE]]</f>
        <v>11851550</v>
      </c>
      <c r="I235" s="251"/>
      <c r="J235" s="251"/>
      <c r="K235" s="251"/>
      <c r="L235" s="251"/>
      <c r="M235" s="251"/>
      <c r="N235" s="251"/>
      <c r="O235" s="251"/>
      <c r="Q235" s="265"/>
      <c r="R235" s="265"/>
      <c r="S235" s="265"/>
      <c r="T235" s="265"/>
      <c r="U235" s="265"/>
      <c r="V235" s="265"/>
    </row>
    <row r="236" spans="1:22" s="2" customFormat="1" ht="13.8" x14ac:dyDescent="0.25">
      <c r="A236" s="7" t="s">
        <v>640</v>
      </c>
      <c r="B236" s="8" t="s">
        <v>954</v>
      </c>
      <c r="C236" s="8"/>
      <c r="D236" s="16"/>
      <c r="E236" s="237"/>
      <c r="F236" s="231"/>
      <c r="G236" s="25">
        <f>+SUM(G237:G242)*1.03</f>
        <v>58906936</v>
      </c>
      <c r="I236" s="251"/>
      <c r="J236" s="251"/>
      <c r="K236" s="251"/>
      <c r="L236" s="251"/>
      <c r="M236" s="251"/>
      <c r="N236" s="251"/>
      <c r="O236" s="251"/>
      <c r="Q236" s="265"/>
      <c r="R236" s="265"/>
      <c r="S236" s="265"/>
      <c r="T236" s="265"/>
      <c r="U236" s="265"/>
      <c r="V236" s="265"/>
    </row>
    <row r="237" spans="1:22" s="2" customFormat="1" ht="22.8" x14ac:dyDescent="0.25">
      <c r="A237" s="203" t="s">
        <v>681</v>
      </c>
      <c r="B237" s="74" t="s">
        <v>638</v>
      </c>
      <c r="C237" s="103" t="s">
        <v>639</v>
      </c>
      <c r="D237" s="248" t="s">
        <v>382</v>
      </c>
      <c r="E237" s="238">
        <v>2</v>
      </c>
      <c r="F237" s="22">
        <v>17500000</v>
      </c>
      <c r="G237" s="22">
        <f>+Tableau82425[[#This Row],[PRIX UNITAIRE (Ar)]]*Tableau82425[[#This Row],[QUANTITE]]</f>
        <v>35000000</v>
      </c>
      <c r="I237" s="251"/>
      <c r="J237" s="251"/>
      <c r="K237" s="251"/>
      <c r="L237" s="251"/>
      <c r="M237" s="251"/>
      <c r="N237" s="251"/>
      <c r="O237" s="251"/>
      <c r="Q237" s="265"/>
      <c r="R237" s="265"/>
      <c r="S237" s="265"/>
      <c r="T237" s="265"/>
      <c r="U237" s="265"/>
      <c r="V237" s="265"/>
    </row>
    <row r="238" spans="1:22" s="2" customFormat="1" ht="22.8" x14ac:dyDescent="0.25">
      <c r="A238" s="203" t="s">
        <v>1013</v>
      </c>
      <c r="B238" s="11" t="s">
        <v>385</v>
      </c>
      <c r="C238" s="182" t="s">
        <v>721</v>
      </c>
      <c r="D238" s="15" t="s">
        <v>5</v>
      </c>
      <c r="E238" s="238">
        <v>2</v>
      </c>
      <c r="F238" s="22">
        <v>1050000</v>
      </c>
      <c r="G238" s="22">
        <f>+Tableau82425[[#This Row],[PRIX UNITAIRE (Ar)]]*Tableau82425[[#This Row],[QUANTITE]]</f>
        <v>2100000</v>
      </c>
      <c r="I238" s="251"/>
      <c r="J238" s="251"/>
      <c r="K238" s="251"/>
      <c r="L238" s="251"/>
      <c r="M238" s="251"/>
      <c r="N238" s="251"/>
      <c r="O238" s="251"/>
      <c r="Q238" s="265"/>
      <c r="R238" s="265"/>
      <c r="S238" s="265"/>
      <c r="T238" s="265"/>
      <c r="U238" s="265"/>
      <c r="V238" s="265"/>
    </row>
    <row r="239" spans="1:22" s="2" customFormat="1" ht="22.8" x14ac:dyDescent="0.25">
      <c r="A239" s="203" t="s">
        <v>1014</v>
      </c>
      <c r="B239" s="11" t="s">
        <v>386</v>
      </c>
      <c r="C239" s="182" t="s">
        <v>721</v>
      </c>
      <c r="D239" s="15" t="s">
        <v>5</v>
      </c>
      <c r="E239" s="238">
        <v>2</v>
      </c>
      <c r="F239" s="22">
        <v>2145600</v>
      </c>
      <c r="G239" s="22">
        <f>+Tableau82425[[#This Row],[PRIX UNITAIRE (Ar)]]*Tableau82425[[#This Row],[QUANTITE]]</f>
        <v>4291200</v>
      </c>
      <c r="I239" s="251"/>
      <c r="J239" s="251"/>
      <c r="K239" s="251"/>
      <c r="L239" s="251"/>
      <c r="M239" s="251"/>
      <c r="N239" s="251"/>
      <c r="O239" s="251"/>
      <c r="Q239" s="265"/>
      <c r="R239" s="265"/>
      <c r="S239" s="265"/>
      <c r="T239" s="265"/>
      <c r="U239" s="265"/>
      <c r="V239" s="265"/>
    </row>
    <row r="240" spans="1:22" s="2" customFormat="1" ht="22.8" x14ac:dyDescent="0.25">
      <c r="A240" s="203" t="s">
        <v>1015</v>
      </c>
      <c r="B240" s="11" t="s">
        <v>909</v>
      </c>
      <c r="C240" s="182" t="s">
        <v>721</v>
      </c>
      <c r="D240" s="15" t="s">
        <v>5</v>
      </c>
      <c r="E240" s="238">
        <v>2</v>
      </c>
      <c r="F240" s="22">
        <v>850000</v>
      </c>
      <c r="G240" s="22">
        <f>+Tableau82425[[#This Row],[PRIX UNITAIRE (Ar)]]*Tableau82425[[#This Row],[QUANTITE]]</f>
        <v>1700000</v>
      </c>
      <c r="I240" s="251"/>
      <c r="J240" s="251"/>
      <c r="K240" s="251"/>
      <c r="L240" s="251"/>
      <c r="M240" s="251"/>
      <c r="N240" s="251"/>
      <c r="O240" s="251"/>
      <c r="Q240" s="265"/>
      <c r="R240" s="265"/>
      <c r="S240" s="265"/>
      <c r="T240" s="265"/>
      <c r="U240" s="265"/>
      <c r="V240" s="265"/>
    </row>
    <row r="241" spans="1:22" s="2" customFormat="1" ht="22.8" x14ac:dyDescent="0.25">
      <c r="A241" s="203" t="s">
        <v>1016</v>
      </c>
      <c r="B241" s="11" t="s">
        <v>910</v>
      </c>
      <c r="C241" s="182" t="s">
        <v>721</v>
      </c>
      <c r="D241" s="15" t="s">
        <v>5</v>
      </c>
      <c r="E241" s="238">
        <v>2</v>
      </c>
      <c r="F241" s="22">
        <v>2350000</v>
      </c>
      <c r="G241" s="22">
        <f>+Tableau82425[[#This Row],[PRIX UNITAIRE (Ar)]]*Tableau82425[[#This Row],[QUANTITE]]</f>
        <v>4700000</v>
      </c>
      <c r="I241" s="251"/>
      <c r="J241" s="251"/>
      <c r="K241" s="251"/>
      <c r="L241" s="251"/>
      <c r="M241" s="251"/>
      <c r="N241" s="251"/>
      <c r="O241" s="251"/>
      <c r="Q241" s="265"/>
      <c r="R241" s="265"/>
      <c r="S241" s="265"/>
      <c r="T241" s="265"/>
      <c r="U241" s="265"/>
      <c r="V241" s="265"/>
    </row>
    <row r="242" spans="1:22" s="2" customFormat="1" ht="22.8" x14ac:dyDescent="0.25">
      <c r="A242" s="203" t="s">
        <v>1017</v>
      </c>
      <c r="B242" s="11" t="s">
        <v>911</v>
      </c>
      <c r="C242" s="182" t="s">
        <v>721</v>
      </c>
      <c r="D242" s="15" t="s">
        <v>5</v>
      </c>
      <c r="E242" s="238">
        <v>2</v>
      </c>
      <c r="F242" s="22">
        <v>4700000</v>
      </c>
      <c r="G242" s="22">
        <f>+Tableau82425[[#This Row],[PRIX UNITAIRE (Ar)]]*Tableau82425[[#This Row],[QUANTITE]]</f>
        <v>9400000</v>
      </c>
      <c r="I242" s="251"/>
      <c r="J242" s="251"/>
      <c r="K242" s="251"/>
      <c r="L242" s="251"/>
      <c r="M242" s="251"/>
      <c r="N242" s="251"/>
      <c r="O242" s="251"/>
      <c r="Q242" s="265"/>
      <c r="R242" s="265"/>
      <c r="S242" s="265"/>
      <c r="T242" s="265"/>
      <c r="U242" s="265"/>
      <c r="V242" s="265"/>
    </row>
    <row r="243" spans="1:22" s="2" customFormat="1" ht="13.8" x14ac:dyDescent="0.25">
      <c r="A243" s="7" t="s">
        <v>880</v>
      </c>
      <c r="B243" s="223" t="s">
        <v>879</v>
      </c>
      <c r="C243" s="182"/>
      <c r="D243" s="15"/>
      <c r="E243" s="238"/>
      <c r="F243" s="20"/>
      <c r="G243" s="25">
        <f>+G244</f>
        <v>211500000</v>
      </c>
      <c r="I243" s="251"/>
      <c r="J243" s="251"/>
      <c r="K243" s="251"/>
      <c r="L243" s="251"/>
      <c r="M243" s="251"/>
      <c r="N243" s="251"/>
      <c r="O243" s="251"/>
      <c r="Q243" s="265"/>
      <c r="R243" s="265"/>
      <c r="S243" s="265"/>
      <c r="T243" s="265"/>
      <c r="U243" s="265"/>
      <c r="V243" s="265"/>
    </row>
    <row r="244" spans="1:22" s="2" customFormat="1" ht="22.8" x14ac:dyDescent="0.25">
      <c r="A244" s="203" t="s">
        <v>881</v>
      </c>
      <c r="B244" s="193" t="s">
        <v>940</v>
      </c>
      <c r="C244" s="182" t="s">
        <v>597</v>
      </c>
      <c r="D244" s="15" t="s">
        <v>382</v>
      </c>
      <c r="E244" s="238">
        <v>1</v>
      </c>
      <c r="F244" s="22">
        <f>45000*4700</f>
        <v>211500000</v>
      </c>
      <c r="G244" s="22">
        <f>+Tableau82425[[#This Row],[PRIX UNITAIRE (Ar)]]*Tableau82425[[#This Row],[QUANTITE]]</f>
        <v>211500000</v>
      </c>
      <c r="I244" s="251"/>
      <c r="J244" s="251"/>
      <c r="K244" s="251"/>
      <c r="L244" s="251"/>
      <c r="M244" s="251"/>
      <c r="N244" s="251"/>
      <c r="O244" s="251"/>
      <c r="Q244" s="265"/>
      <c r="R244" s="265"/>
      <c r="S244" s="265"/>
      <c r="T244" s="265"/>
      <c r="U244" s="265"/>
      <c r="V244" s="265"/>
    </row>
    <row r="245" spans="1:22" s="2" customFormat="1" ht="13.8" x14ac:dyDescent="0.25">
      <c r="A245" s="7" t="s">
        <v>958</v>
      </c>
      <c r="B245" s="223" t="s">
        <v>956</v>
      </c>
      <c r="C245" s="182"/>
      <c r="D245" s="15"/>
      <c r="E245" s="238"/>
      <c r="F245" s="20"/>
      <c r="G245" s="25">
        <f>+G246</f>
        <v>204540700</v>
      </c>
      <c r="I245" s="251"/>
      <c r="J245" s="251"/>
      <c r="K245" s="251"/>
      <c r="L245" s="251"/>
      <c r="M245" s="251"/>
      <c r="N245" s="251"/>
      <c r="O245" s="251"/>
      <c r="Q245" s="265"/>
      <c r="R245" s="265"/>
      <c r="S245" s="265"/>
      <c r="T245" s="265"/>
      <c r="U245" s="265"/>
      <c r="V245" s="265"/>
    </row>
    <row r="246" spans="1:22" s="2" customFormat="1" ht="22.8" x14ac:dyDescent="0.25">
      <c r="A246" s="13" t="s">
        <v>1018</v>
      </c>
      <c r="B246" s="193" t="s">
        <v>877</v>
      </c>
      <c r="C246" s="182" t="s">
        <v>878</v>
      </c>
      <c r="D246" s="210" t="s">
        <v>382</v>
      </c>
      <c r="E246" s="241">
        <v>1</v>
      </c>
      <c r="F246" s="22">
        <f>157339000*1.3</f>
        <v>204540700</v>
      </c>
      <c r="G246" s="22">
        <f>+Tableau82425[[#This Row],[PRIX UNITAIRE (Ar)]]*Tableau82425[[#This Row],[QUANTITE]]</f>
        <v>204540700</v>
      </c>
      <c r="I246" s="251"/>
      <c r="J246" s="251"/>
      <c r="K246" s="251"/>
      <c r="L246" s="251"/>
      <c r="M246" s="251"/>
      <c r="N246" s="251"/>
      <c r="O246" s="251"/>
      <c r="Q246" s="265"/>
      <c r="R246" s="265"/>
      <c r="S246" s="265"/>
      <c r="T246" s="265"/>
      <c r="U246" s="265"/>
      <c r="V246" s="265"/>
    </row>
    <row r="247" spans="1:22" s="2" customFormat="1" ht="13.8" x14ac:dyDescent="0.25">
      <c r="A247" s="7" t="s">
        <v>959</v>
      </c>
      <c r="B247" s="223" t="s">
        <v>957</v>
      </c>
      <c r="C247" s="182"/>
      <c r="D247" s="15"/>
      <c r="E247" s="238"/>
      <c r="F247" s="20"/>
      <c r="G247" s="25">
        <f>+G248</f>
        <v>243013500</v>
      </c>
      <c r="I247" s="251"/>
      <c r="J247" s="251"/>
      <c r="K247" s="251"/>
      <c r="L247" s="251"/>
      <c r="M247" s="251"/>
      <c r="N247" s="251"/>
      <c r="O247" s="251"/>
      <c r="Q247" s="265"/>
      <c r="R247" s="265"/>
      <c r="S247" s="265"/>
      <c r="T247" s="265"/>
      <c r="U247" s="265"/>
      <c r="V247" s="265"/>
    </row>
    <row r="248" spans="1:22" s="2" customFormat="1" ht="22.8" x14ac:dyDescent="0.25">
      <c r="A248" s="217" t="s">
        <v>1019</v>
      </c>
      <c r="B248" s="74" t="s">
        <v>728</v>
      </c>
      <c r="C248" s="235"/>
      <c r="D248" s="219" t="s">
        <v>75</v>
      </c>
      <c r="E248" s="243">
        <v>1</v>
      </c>
      <c r="F248" s="22">
        <f>51705*4700</f>
        <v>243013500</v>
      </c>
      <c r="G248" s="22">
        <f>+Tableau82425[[#This Row],[PRIX UNITAIRE (Ar)]]*Tableau82425[[#This Row],[QUANTITE]]</f>
        <v>243013500</v>
      </c>
      <c r="I248" s="251"/>
      <c r="J248" s="251"/>
      <c r="K248" s="251"/>
      <c r="L248" s="251"/>
      <c r="M248" s="251"/>
      <c r="N248" s="251"/>
      <c r="O248" s="251"/>
      <c r="Q248" s="265"/>
      <c r="R248" s="265"/>
      <c r="S248" s="265"/>
      <c r="T248" s="265"/>
      <c r="U248" s="265"/>
      <c r="V248" s="265"/>
    </row>
    <row r="249" spans="1:22" x14ac:dyDescent="0.25">
      <c r="A249" s="18"/>
      <c r="B249" s="19"/>
      <c r="C249" s="83"/>
      <c r="D249" s="23"/>
      <c r="E249" s="242"/>
      <c r="F249" s="26"/>
      <c r="G249" s="26"/>
    </row>
    <row r="250" spans="1:22" x14ac:dyDescent="0.25">
      <c r="A250" s="18"/>
      <c r="B250" s="19"/>
      <c r="C250" s="83"/>
      <c r="D250" s="23"/>
      <c r="E250" s="242"/>
      <c r="F250" s="26"/>
      <c r="G250" s="26"/>
    </row>
    <row r="251" spans="1:22" x14ac:dyDescent="0.25">
      <c r="A251" s="18"/>
      <c r="B251" s="19"/>
      <c r="C251" s="83"/>
      <c r="D251" s="23"/>
      <c r="E251" s="242"/>
      <c r="F251" s="26"/>
      <c r="G251" s="26"/>
    </row>
    <row r="252" spans="1:22" ht="39.75" customHeight="1" x14ac:dyDescent="0.25">
      <c r="A252" s="18"/>
      <c r="B252" s="354" t="s">
        <v>908</v>
      </c>
      <c r="C252" s="354"/>
      <c r="D252" s="354"/>
      <c r="E252" s="354"/>
      <c r="F252" s="88"/>
      <c r="G252" s="26"/>
    </row>
    <row r="253" spans="1:22" x14ac:dyDescent="0.25">
      <c r="A253" s="18"/>
      <c r="B253" s="19"/>
      <c r="C253" s="83"/>
      <c r="D253" s="23"/>
      <c r="E253" s="242"/>
      <c r="F253" s="26"/>
      <c r="G253" s="26"/>
    </row>
    <row r="254" spans="1:22" ht="12" customHeight="1" x14ac:dyDescent="0.25">
      <c r="A254" s="353"/>
      <c r="B254" s="353"/>
      <c r="C254" s="353"/>
      <c r="D254" s="353"/>
      <c r="E254" s="353"/>
    </row>
    <row r="255" spans="1:22" ht="33.75" customHeight="1" x14ac:dyDescent="0.25">
      <c r="A255" s="354" t="s">
        <v>1025</v>
      </c>
      <c r="B255" s="354"/>
      <c r="C255" s="354"/>
      <c r="D255" s="354"/>
      <c r="E255" s="354"/>
      <c r="F255" s="230"/>
    </row>
    <row r="256" spans="1:22" ht="12.6" thickBot="1" x14ac:dyDescent="0.3">
      <c r="C256" s="255"/>
    </row>
    <row r="257" spans="1:13" ht="14.4" thickBot="1" x14ac:dyDescent="0.3">
      <c r="A257" s="75" t="s">
        <v>0</v>
      </c>
      <c r="B257" s="195" t="s">
        <v>1</v>
      </c>
      <c r="C257" s="195" t="s">
        <v>410</v>
      </c>
      <c r="D257" s="357" t="s">
        <v>907</v>
      </c>
      <c r="E257" s="358"/>
    </row>
    <row r="258" spans="1:13" ht="15.75" customHeight="1" x14ac:dyDescent="0.3">
      <c r="A258" s="279" t="s">
        <v>3</v>
      </c>
      <c r="B258" s="280" t="s">
        <v>77</v>
      </c>
      <c r="C258" s="281">
        <f>+G13</f>
        <v>115000000</v>
      </c>
      <c r="D258" s="359">
        <f>+C258/J258</f>
        <v>24468.08510638298</v>
      </c>
      <c r="E258" s="360"/>
      <c r="F258" s="21">
        <f>C258*100/C$278</f>
        <v>3.8559826827433499</v>
      </c>
      <c r="G258" s="250"/>
      <c r="J258" s="254">
        <v>4700</v>
      </c>
      <c r="M258" s="125">
        <v>116</v>
      </c>
    </row>
    <row r="259" spans="1:13" ht="15.75" customHeight="1" x14ac:dyDescent="0.3">
      <c r="A259" s="282" t="s">
        <v>4</v>
      </c>
      <c r="B259" s="283" t="s">
        <v>154</v>
      </c>
      <c r="C259" s="284">
        <f>+G15</f>
        <v>61399300</v>
      </c>
      <c r="D259" s="361">
        <f t="shared" ref="D259:D275" si="5">+C259/J259</f>
        <v>13063.680851063829</v>
      </c>
      <c r="E259" s="362"/>
      <c r="F259" s="21">
        <f t="shared" ref="F259:F277" si="6">C259*100/C$278</f>
        <v>2.0587359785440325</v>
      </c>
      <c r="G259" s="250"/>
      <c r="J259" s="254">
        <v>4700</v>
      </c>
    </row>
    <row r="260" spans="1:13" ht="15.75" customHeight="1" x14ac:dyDescent="0.3">
      <c r="A260" s="282" t="s">
        <v>16</v>
      </c>
      <c r="B260" s="283" t="s">
        <v>73</v>
      </c>
      <c r="C260" s="284">
        <f>+G38</f>
        <v>8352694.5847999975</v>
      </c>
      <c r="D260" s="361">
        <f t="shared" si="5"/>
        <v>1777.1690605957442</v>
      </c>
      <c r="E260" s="362"/>
      <c r="F260" s="21">
        <f t="shared" si="6"/>
        <v>0.28006822324550384</v>
      </c>
      <c r="G260" s="250"/>
      <c r="J260" s="254">
        <v>4700</v>
      </c>
    </row>
    <row r="261" spans="1:13" ht="15.75" customHeight="1" x14ac:dyDescent="0.3">
      <c r="A261" s="282" t="s">
        <v>13</v>
      </c>
      <c r="B261" s="283" t="s">
        <v>15</v>
      </c>
      <c r="C261" s="284">
        <f>+G42</f>
        <v>122955081.01249999</v>
      </c>
      <c r="D261" s="361">
        <f t="shared" si="5"/>
        <v>26160.655534574467</v>
      </c>
      <c r="E261" s="362"/>
      <c r="F261" s="21">
        <f t="shared" si="6"/>
        <v>4.1227188099087444</v>
      </c>
      <c r="G261" s="250"/>
      <c r="J261" s="254">
        <v>4700</v>
      </c>
    </row>
    <row r="262" spans="1:13" ht="15.75" customHeight="1" x14ac:dyDescent="0.3">
      <c r="A262" s="282" t="s">
        <v>35</v>
      </c>
      <c r="B262" s="283" t="s">
        <v>20</v>
      </c>
      <c r="C262" s="284">
        <f>+G55</f>
        <v>592130553.25500011</v>
      </c>
      <c r="D262" s="361">
        <f t="shared" si="5"/>
        <v>125985.22409680854</v>
      </c>
      <c r="E262" s="362"/>
      <c r="F262" s="21">
        <f t="shared" si="6"/>
        <v>19.854305732821906</v>
      </c>
      <c r="G262" s="250"/>
      <c r="J262" s="254">
        <v>4700</v>
      </c>
    </row>
    <row r="263" spans="1:13" ht="15.75" customHeight="1" x14ac:dyDescent="0.3">
      <c r="A263" s="282" t="s">
        <v>9</v>
      </c>
      <c r="B263" s="283" t="s">
        <v>78</v>
      </c>
      <c r="C263" s="284">
        <f>+G67</f>
        <v>67838629.25</v>
      </c>
      <c r="D263" s="361">
        <f t="shared" si="5"/>
        <v>14433.750904255319</v>
      </c>
      <c r="E263" s="362"/>
      <c r="F263" s="21">
        <f t="shared" si="6"/>
        <v>2.2746485183395344</v>
      </c>
      <c r="G263" s="250"/>
      <c r="J263" s="254">
        <v>4700</v>
      </c>
    </row>
    <row r="264" spans="1:13" ht="15.75" customHeight="1" x14ac:dyDescent="0.3">
      <c r="A264" s="282" t="s">
        <v>34</v>
      </c>
      <c r="B264" s="283" t="s">
        <v>17</v>
      </c>
      <c r="C264" s="284">
        <f>+G79</f>
        <v>26763500</v>
      </c>
      <c r="D264" s="361">
        <f t="shared" si="5"/>
        <v>5694.3617021276596</v>
      </c>
      <c r="E264" s="362"/>
      <c r="F264" s="21">
        <f t="shared" si="6"/>
        <v>0.89738776112697072</v>
      </c>
      <c r="G264" s="250"/>
      <c r="J264" s="254">
        <v>4700</v>
      </c>
    </row>
    <row r="265" spans="1:13" ht="15.75" customHeight="1" x14ac:dyDescent="0.3">
      <c r="A265" s="282" t="s">
        <v>26</v>
      </c>
      <c r="B265" s="283" t="s">
        <v>33</v>
      </c>
      <c r="C265" s="284">
        <f>+G89</f>
        <v>88057342.327499986</v>
      </c>
      <c r="D265" s="361">
        <f t="shared" si="5"/>
        <v>18735.604750531911</v>
      </c>
      <c r="E265" s="362"/>
      <c r="F265" s="21">
        <f t="shared" si="6"/>
        <v>2.9525877139412424</v>
      </c>
      <c r="G265" s="250"/>
      <c r="J265" s="254">
        <v>4700</v>
      </c>
    </row>
    <row r="266" spans="1:13" ht="15.75" customHeight="1" x14ac:dyDescent="0.3">
      <c r="A266" s="282" t="s">
        <v>38</v>
      </c>
      <c r="B266" s="283" t="s">
        <v>282</v>
      </c>
      <c r="C266" s="284">
        <f>+G95</f>
        <v>193420625.75</v>
      </c>
      <c r="D266" s="361">
        <f t="shared" si="5"/>
        <v>41153.324627659575</v>
      </c>
      <c r="E266" s="362"/>
      <c r="F266" s="21">
        <f t="shared" si="6"/>
        <v>6.4854485511076732</v>
      </c>
      <c r="G266" s="250"/>
      <c r="J266" s="254">
        <v>4700</v>
      </c>
    </row>
    <row r="267" spans="1:13" ht="15.75" customHeight="1" x14ac:dyDescent="0.3">
      <c r="A267" s="285" t="s">
        <v>27</v>
      </c>
      <c r="B267" s="286" t="s">
        <v>955</v>
      </c>
      <c r="C267" s="287">
        <f>+G111</f>
        <v>49684192.399999999</v>
      </c>
      <c r="D267" s="367">
        <f>+C267/J267</f>
        <v>10571.104765957447</v>
      </c>
      <c r="E267" s="368"/>
      <c r="F267" s="21">
        <f t="shared" si="6"/>
        <v>1.6659250913085977</v>
      </c>
      <c r="G267" s="250"/>
      <c r="J267" s="254">
        <v>4700</v>
      </c>
    </row>
    <row r="268" spans="1:13" ht="15.75" customHeight="1" x14ac:dyDescent="0.3">
      <c r="A268" s="285" t="s">
        <v>28</v>
      </c>
      <c r="B268" s="283" t="s">
        <v>40</v>
      </c>
      <c r="C268" s="284">
        <f>+G119</f>
        <v>68859362.5</v>
      </c>
      <c r="D268" s="361">
        <f>+C268/J268</f>
        <v>14650.928191489362</v>
      </c>
      <c r="E268" s="362"/>
      <c r="F268" s="21">
        <f t="shared" si="6"/>
        <v>2.3088739943021461</v>
      </c>
      <c r="G268" s="250"/>
      <c r="J268" s="254">
        <v>4700</v>
      </c>
    </row>
    <row r="269" spans="1:13" ht="15.75" customHeight="1" x14ac:dyDescent="0.3">
      <c r="A269" s="282" t="s">
        <v>31</v>
      </c>
      <c r="B269" s="283" t="s">
        <v>80</v>
      </c>
      <c r="C269" s="284">
        <f>+G131</f>
        <v>494887257.98000002</v>
      </c>
      <c r="D269" s="361">
        <f t="shared" si="5"/>
        <v>105295.16127234043</v>
      </c>
      <c r="E269" s="362"/>
      <c r="F269" s="21">
        <f t="shared" si="6"/>
        <v>16.593710405923659</v>
      </c>
      <c r="G269" s="250"/>
      <c r="J269" s="254">
        <v>4700</v>
      </c>
    </row>
    <row r="270" spans="1:13" ht="15.75" customHeight="1" x14ac:dyDescent="0.3">
      <c r="A270" s="282" t="s">
        <v>81</v>
      </c>
      <c r="B270" s="283" t="s">
        <v>79</v>
      </c>
      <c r="C270" s="284">
        <f>+G179</f>
        <v>108558000</v>
      </c>
      <c r="D270" s="361">
        <f t="shared" si="5"/>
        <v>23097.446808510638</v>
      </c>
      <c r="E270" s="362"/>
      <c r="F270" s="21">
        <f t="shared" si="6"/>
        <v>3.6399805919413266</v>
      </c>
      <c r="G270" s="250"/>
      <c r="J270" s="254">
        <v>4700</v>
      </c>
    </row>
    <row r="271" spans="1:13" ht="15.75" customHeight="1" x14ac:dyDescent="0.3">
      <c r="A271" s="282" t="s">
        <v>82</v>
      </c>
      <c r="B271" s="283" t="s">
        <v>39</v>
      </c>
      <c r="C271" s="284">
        <f>+G200</f>
        <v>183275610</v>
      </c>
      <c r="D271" s="361">
        <f t="shared" si="5"/>
        <v>38994.810638297873</v>
      </c>
      <c r="E271" s="362"/>
      <c r="F271" s="21">
        <f t="shared" si="6"/>
        <v>6.1452832898193384</v>
      </c>
      <c r="G271" s="250"/>
      <c r="J271" s="254">
        <v>4700</v>
      </c>
    </row>
    <row r="272" spans="1:13" ht="15.75" customHeight="1" x14ac:dyDescent="0.3">
      <c r="A272" s="282" t="s">
        <v>83</v>
      </c>
      <c r="B272" s="283" t="s">
        <v>672</v>
      </c>
      <c r="C272" s="284">
        <f>+G230</f>
        <v>26250000</v>
      </c>
      <c r="D272" s="361">
        <f t="shared" si="5"/>
        <v>5585.1063829787236</v>
      </c>
      <c r="E272" s="362"/>
      <c r="F272" s="21">
        <f t="shared" si="6"/>
        <v>0.8801699601914168</v>
      </c>
      <c r="G272" s="250"/>
      <c r="J272" s="254">
        <v>4700</v>
      </c>
    </row>
    <row r="273" spans="1:10" ht="15.75" customHeight="1" x14ac:dyDescent="0.3">
      <c r="A273" s="282" t="s">
        <v>91</v>
      </c>
      <c r="B273" s="283" t="s">
        <v>29</v>
      </c>
      <c r="C273" s="284">
        <f>+G232</f>
        <v>56985254</v>
      </c>
      <c r="D273" s="361">
        <f>+C273/J273</f>
        <v>12124.522127659575</v>
      </c>
      <c r="E273" s="362"/>
      <c r="F273" s="21">
        <f t="shared" si="6"/>
        <v>1.9107317617020103</v>
      </c>
      <c r="G273" s="250"/>
      <c r="J273" s="254">
        <v>4700</v>
      </c>
    </row>
    <row r="274" spans="1:10" ht="15.75" customHeight="1" x14ac:dyDescent="0.3">
      <c r="A274" s="282" t="s">
        <v>640</v>
      </c>
      <c r="B274" s="283" t="s">
        <v>954</v>
      </c>
      <c r="C274" s="284">
        <f>+G236</f>
        <v>58906936</v>
      </c>
      <c r="D274" s="361">
        <f t="shared" ref="D274" si="7">+C274/J274</f>
        <v>12533.390638297873</v>
      </c>
      <c r="E274" s="362"/>
      <c r="F274" s="21">
        <f t="shared" si="6"/>
        <v>1.9751663052997461</v>
      </c>
      <c r="G274" s="250"/>
      <c r="J274" s="254">
        <v>4700</v>
      </c>
    </row>
    <row r="275" spans="1:10" ht="15.75" customHeight="1" x14ac:dyDescent="0.3">
      <c r="A275" s="282" t="s">
        <v>880</v>
      </c>
      <c r="B275" s="283" t="s">
        <v>879</v>
      </c>
      <c r="C275" s="284">
        <f>+G243</f>
        <v>211500000</v>
      </c>
      <c r="D275" s="361">
        <f t="shared" si="5"/>
        <v>45000</v>
      </c>
      <c r="E275" s="362"/>
      <c r="F275" s="21">
        <f t="shared" si="6"/>
        <v>7.0916551078279868</v>
      </c>
      <c r="G275" s="250"/>
      <c r="J275" s="254">
        <v>4700</v>
      </c>
    </row>
    <row r="276" spans="1:10" ht="15.75" customHeight="1" x14ac:dyDescent="0.3">
      <c r="A276" s="282" t="s">
        <v>958</v>
      </c>
      <c r="B276" s="283" t="s">
        <v>956</v>
      </c>
      <c r="C276" s="284">
        <f>+G245</f>
        <v>204540700</v>
      </c>
      <c r="D276" s="361">
        <f t="shared" ref="D276:D277" si="8">+C276/J276</f>
        <v>43519.297872340423</v>
      </c>
      <c r="E276" s="362"/>
      <c r="F276" s="21">
        <f t="shared" si="6"/>
        <v>6.8583078010104579</v>
      </c>
      <c r="G276" s="250"/>
      <c r="J276" s="254">
        <v>4700</v>
      </c>
    </row>
    <row r="277" spans="1:10" ht="15.75" customHeight="1" thickBot="1" x14ac:dyDescent="0.35">
      <c r="A277" s="288" t="s">
        <v>959</v>
      </c>
      <c r="B277" s="289" t="s">
        <v>957</v>
      </c>
      <c r="C277" s="290">
        <f>+G247</f>
        <v>243013500</v>
      </c>
      <c r="D277" s="363">
        <f t="shared" si="8"/>
        <v>51705</v>
      </c>
      <c r="E277" s="364"/>
      <c r="F277" s="21">
        <f t="shared" si="6"/>
        <v>8.148311718894357</v>
      </c>
      <c r="G277" s="250"/>
      <c r="J277" s="254">
        <v>4700</v>
      </c>
    </row>
    <row r="278" spans="1:10" ht="15.75" customHeight="1" thickBot="1" x14ac:dyDescent="0.3">
      <c r="A278" s="355" t="s">
        <v>76</v>
      </c>
      <c r="B278" s="356"/>
      <c r="C278" s="272">
        <f>+SUM(C258:C277)</f>
        <v>2982378539.0598001</v>
      </c>
      <c r="D278" s="351">
        <f>+SUM(D258:D277)</f>
        <v>634548.62533187249</v>
      </c>
      <c r="E278" s="352"/>
      <c r="G278" s="250"/>
      <c r="J278" s="254">
        <v>4700</v>
      </c>
    </row>
    <row r="279" spans="1:10" ht="15.75" customHeight="1" thickBot="1" x14ac:dyDescent="0.3">
      <c r="A279" s="355" t="s">
        <v>897</v>
      </c>
      <c r="B279" s="356"/>
      <c r="C279" s="272">
        <f>+C278*0.2</f>
        <v>596475707.8119601</v>
      </c>
      <c r="D279" s="351">
        <f>+D278*0.2</f>
        <v>126909.72506637451</v>
      </c>
      <c r="E279" s="352"/>
      <c r="G279" s="250"/>
      <c r="J279" s="254">
        <v>4700</v>
      </c>
    </row>
    <row r="280" spans="1:10" ht="15.75" customHeight="1" thickBot="1" x14ac:dyDescent="0.3">
      <c r="A280" s="355" t="s">
        <v>898</v>
      </c>
      <c r="B280" s="356"/>
      <c r="C280" s="272">
        <f>+C279+C278</f>
        <v>3578854246.8717604</v>
      </c>
      <c r="D280" s="351">
        <f>+D279+D278</f>
        <v>761458.35039824701</v>
      </c>
      <c r="E280" s="352"/>
      <c r="G280" s="250"/>
      <c r="J280" s="254">
        <v>4700</v>
      </c>
    </row>
    <row r="281" spans="1:10" ht="15.75" customHeight="1" x14ac:dyDescent="0.25">
      <c r="A281" s="324"/>
      <c r="B281" s="324"/>
      <c r="C281" s="325"/>
      <c r="D281" s="326"/>
      <c r="E281" s="326"/>
      <c r="G281" s="250"/>
      <c r="J281" s="254"/>
    </row>
    <row r="282" spans="1:10" ht="23.4" x14ac:dyDescent="0.25">
      <c r="B282" s="4" t="s">
        <v>949</v>
      </c>
      <c r="C282" s="275"/>
    </row>
    <row r="283" spans="1:10" x14ac:dyDescent="0.25">
      <c r="C283" s="277"/>
    </row>
    <row r="284" spans="1:10" x14ac:dyDescent="0.25">
      <c r="C284" s="275"/>
      <c r="G284" s="274"/>
      <c r="H284" s="21"/>
    </row>
    <row r="285" spans="1:10" ht="17.25" customHeight="1" x14ac:dyDescent="0.25">
      <c r="C285" s="271"/>
      <c r="G285" s="276"/>
    </row>
    <row r="286" spans="1:10" x14ac:dyDescent="0.25">
      <c r="C286" s="278"/>
      <c r="G286" s="276"/>
    </row>
    <row r="287" spans="1:10" x14ac:dyDescent="0.25">
      <c r="G287" s="276"/>
    </row>
  </sheetData>
  <mergeCells count="33">
    <mergeCell ref="A7:G7"/>
    <mergeCell ref="A9:B9"/>
    <mergeCell ref="A10:G10"/>
    <mergeCell ref="D270:E270"/>
    <mergeCell ref="D271:E271"/>
    <mergeCell ref="D266:E266"/>
    <mergeCell ref="D267:E267"/>
    <mergeCell ref="D268:E268"/>
    <mergeCell ref="D269:E269"/>
    <mergeCell ref="A278:B278"/>
    <mergeCell ref="D272:E272"/>
    <mergeCell ref="D275:E275"/>
    <mergeCell ref="D273:E273"/>
    <mergeCell ref="D278:E278"/>
    <mergeCell ref="D276:E276"/>
    <mergeCell ref="D277:E277"/>
    <mergeCell ref="D274:E274"/>
    <mergeCell ref="D279:E279"/>
    <mergeCell ref="D280:E280"/>
    <mergeCell ref="A254:E254"/>
    <mergeCell ref="B252:E252"/>
    <mergeCell ref="A255:E255"/>
    <mergeCell ref="A279:B279"/>
    <mergeCell ref="A280:B280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</mergeCells>
  <phoneticPr fontId="48" type="noConversion"/>
  <printOptions horizontalCentered="1"/>
  <pageMargins left="0.39370078740157483" right="0.39370078740157483" top="0.35433070866141736" bottom="0.35433070866141736" header="0.11811023622047245" footer="0.11811023622047245"/>
  <pageSetup paperSize="9" scale="101" orientation="landscape" useFirstPageNumber="1" horizontalDpi="300" verticalDpi="300" r:id="rId1"/>
  <rowBreaks count="2" manualBreakCount="2">
    <brk id="224" max="4" man="1"/>
    <brk id="250" max="4" man="1"/>
  </rowBreak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7:O52"/>
  <sheetViews>
    <sheetView showZeros="0" topLeftCell="A4" zoomScale="79" zoomScaleNormal="100" zoomScaleSheetLayoutView="100" zoomScalePageLayoutView="80" workbookViewId="0">
      <selection activeCell="G12" sqref="G12:G32"/>
    </sheetView>
  </sheetViews>
  <sheetFormatPr defaultColWidth="51.44140625" defaultRowHeight="12" x14ac:dyDescent="0.25"/>
  <cols>
    <col min="1" max="1" width="11.33203125" style="4" bestFit="1" customWidth="1"/>
    <col min="2" max="2" width="53.5546875" style="4" customWidth="1"/>
    <col min="3" max="3" width="16.5546875" style="79" bestFit="1" customWidth="1"/>
    <col min="4" max="4" width="15.33203125" style="5" customWidth="1"/>
    <col min="5" max="5" width="15.33203125" style="151" customWidth="1"/>
    <col min="6" max="6" width="15.33203125" style="229" customWidth="1"/>
    <col min="7" max="10" width="15.33203125" style="1" customWidth="1"/>
    <col min="11" max="13" width="11.44140625" style="1" customWidth="1"/>
    <col min="14" max="14" width="5.109375" style="1" customWidth="1"/>
    <col min="15" max="90" width="11.44140625" style="1" customWidth="1"/>
    <col min="91" max="91" width="9.44140625" style="1" customWidth="1"/>
    <col min="92" max="92" width="51.44140625" style="1"/>
    <col min="93" max="93" width="8.6640625" style="1" customWidth="1"/>
    <col min="94" max="94" width="50.6640625" style="1" customWidth="1"/>
    <col min="95" max="95" width="22.6640625" style="1" customWidth="1"/>
    <col min="96" max="96" width="7.6640625" style="1" customWidth="1"/>
    <col min="97" max="97" width="10.6640625" style="1" customWidth="1"/>
    <col min="98" max="98" width="16.44140625" style="1" customWidth="1"/>
    <col min="99" max="99" width="18.6640625" style="1" customWidth="1"/>
    <col min="100" max="100" width="11.44140625" style="1" bestFit="1" customWidth="1"/>
    <col min="101" max="101" width="14.109375" style="1" bestFit="1" customWidth="1"/>
    <col min="102" max="102" width="11.44140625" style="1" bestFit="1" customWidth="1"/>
    <col min="103" max="346" width="11.44140625" style="1" customWidth="1"/>
    <col min="347" max="347" width="9.44140625" style="1" customWidth="1"/>
    <col min="348" max="348" width="51.44140625" style="1"/>
    <col min="349" max="349" width="8.6640625" style="1" customWidth="1"/>
    <col min="350" max="350" width="50.6640625" style="1" customWidth="1"/>
    <col min="351" max="351" width="22.6640625" style="1" customWidth="1"/>
    <col min="352" max="352" width="7.6640625" style="1" customWidth="1"/>
    <col min="353" max="353" width="10.6640625" style="1" customWidth="1"/>
    <col min="354" max="354" width="16.44140625" style="1" customWidth="1"/>
    <col min="355" max="355" width="18.6640625" style="1" customWidth="1"/>
    <col min="356" max="356" width="11.44140625" style="1" bestFit="1" customWidth="1"/>
    <col min="357" max="357" width="14.109375" style="1" bestFit="1" customWidth="1"/>
    <col min="358" max="358" width="11.44140625" style="1" bestFit="1" customWidth="1"/>
    <col min="359" max="602" width="11.44140625" style="1" customWidth="1"/>
    <col min="603" max="603" width="9.44140625" style="1" customWidth="1"/>
    <col min="604" max="604" width="51.44140625" style="1"/>
    <col min="605" max="605" width="8.6640625" style="1" customWidth="1"/>
    <col min="606" max="606" width="50.6640625" style="1" customWidth="1"/>
    <col min="607" max="607" width="22.6640625" style="1" customWidth="1"/>
    <col min="608" max="608" width="7.6640625" style="1" customWidth="1"/>
    <col min="609" max="609" width="10.6640625" style="1" customWidth="1"/>
    <col min="610" max="610" width="16.44140625" style="1" customWidth="1"/>
    <col min="611" max="611" width="18.6640625" style="1" customWidth="1"/>
    <col min="612" max="612" width="11.44140625" style="1" bestFit="1" customWidth="1"/>
    <col min="613" max="613" width="14.109375" style="1" bestFit="1" customWidth="1"/>
    <col min="614" max="614" width="11.44140625" style="1" bestFit="1" customWidth="1"/>
    <col min="615" max="858" width="11.44140625" style="1" customWidth="1"/>
    <col min="859" max="859" width="9.44140625" style="1" customWidth="1"/>
    <col min="860" max="860" width="51.44140625" style="1"/>
    <col min="861" max="861" width="8.6640625" style="1" customWidth="1"/>
    <col min="862" max="862" width="50.6640625" style="1" customWidth="1"/>
    <col min="863" max="863" width="22.6640625" style="1" customWidth="1"/>
    <col min="864" max="864" width="7.6640625" style="1" customWidth="1"/>
    <col min="865" max="865" width="10.6640625" style="1" customWidth="1"/>
    <col min="866" max="866" width="16.44140625" style="1" customWidth="1"/>
    <col min="867" max="867" width="18.6640625" style="1" customWidth="1"/>
    <col min="868" max="868" width="11.44140625" style="1" bestFit="1" customWidth="1"/>
    <col min="869" max="869" width="14.109375" style="1" bestFit="1" customWidth="1"/>
    <col min="870" max="870" width="11.44140625" style="1" bestFit="1" customWidth="1"/>
    <col min="871" max="1114" width="11.44140625" style="1" customWidth="1"/>
    <col min="1115" max="1115" width="9.44140625" style="1" customWidth="1"/>
    <col min="1116" max="1116" width="51.44140625" style="1"/>
    <col min="1117" max="1117" width="8.6640625" style="1" customWidth="1"/>
    <col min="1118" max="1118" width="50.6640625" style="1" customWidth="1"/>
    <col min="1119" max="1119" width="22.6640625" style="1" customWidth="1"/>
    <col min="1120" max="1120" width="7.6640625" style="1" customWidth="1"/>
    <col min="1121" max="1121" width="10.6640625" style="1" customWidth="1"/>
    <col min="1122" max="1122" width="16.44140625" style="1" customWidth="1"/>
    <col min="1123" max="1123" width="18.6640625" style="1" customWidth="1"/>
    <col min="1124" max="1124" width="11.44140625" style="1" bestFit="1" customWidth="1"/>
    <col min="1125" max="1125" width="14.109375" style="1" bestFit="1" customWidth="1"/>
    <col min="1126" max="1126" width="11.44140625" style="1" bestFit="1" customWidth="1"/>
    <col min="1127" max="1370" width="11.44140625" style="1" customWidth="1"/>
    <col min="1371" max="1371" width="9.44140625" style="1" customWidth="1"/>
    <col min="1372" max="1372" width="51.44140625" style="1"/>
    <col min="1373" max="1373" width="8.6640625" style="1" customWidth="1"/>
    <col min="1374" max="1374" width="50.6640625" style="1" customWidth="1"/>
    <col min="1375" max="1375" width="22.6640625" style="1" customWidth="1"/>
    <col min="1376" max="1376" width="7.6640625" style="1" customWidth="1"/>
    <col min="1377" max="1377" width="10.6640625" style="1" customWidth="1"/>
    <col min="1378" max="1378" width="16.44140625" style="1" customWidth="1"/>
    <col min="1379" max="1379" width="18.6640625" style="1" customWidth="1"/>
    <col min="1380" max="1380" width="11.44140625" style="1" bestFit="1" customWidth="1"/>
    <col min="1381" max="1381" width="14.109375" style="1" bestFit="1" customWidth="1"/>
    <col min="1382" max="1382" width="11.44140625" style="1" bestFit="1" customWidth="1"/>
    <col min="1383" max="1626" width="11.44140625" style="1" customWidth="1"/>
    <col min="1627" max="1627" width="9.44140625" style="1" customWidth="1"/>
    <col min="1628" max="1628" width="51.44140625" style="1"/>
    <col min="1629" max="1629" width="8.6640625" style="1" customWidth="1"/>
    <col min="1630" max="1630" width="50.6640625" style="1" customWidth="1"/>
    <col min="1631" max="1631" width="22.6640625" style="1" customWidth="1"/>
    <col min="1632" max="1632" width="7.6640625" style="1" customWidth="1"/>
    <col min="1633" max="1633" width="10.6640625" style="1" customWidth="1"/>
    <col min="1634" max="1634" width="16.44140625" style="1" customWidth="1"/>
    <col min="1635" max="1635" width="18.6640625" style="1" customWidth="1"/>
    <col min="1636" max="1636" width="11.44140625" style="1" bestFit="1" customWidth="1"/>
    <col min="1637" max="1637" width="14.109375" style="1" bestFit="1" customWidth="1"/>
    <col min="1638" max="1638" width="11.44140625" style="1" bestFit="1" customWidth="1"/>
    <col min="1639" max="1882" width="11.44140625" style="1" customWidth="1"/>
    <col min="1883" max="1883" width="9.44140625" style="1" customWidth="1"/>
    <col min="1884" max="1884" width="51.44140625" style="1"/>
    <col min="1885" max="1885" width="8.6640625" style="1" customWidth="1"/>
    <col min="1886" max="1886" width="50.6640625" style="1" customWidth="1"/>
    <col min="1887" max="1887" width="22.6640625" style="1" customWidth="1"/>
    <col min="1888" max="1888" width="7.6640625" style="1" customWidth="1"/>
    <col min="1889" max="1889" width="10.6640625" style="1" customWidth="1"/>
    <col min="1890" max="1890" width="16.44140625" style="1" customWidth="1"/>
    <col min="1891" max="1891" width="18.6640625" style="1" customWidth="1"/>
    <col min="1892" max="1892" width="11.44140625" style="1" bestFit="1" customWidth="1"/>
    <col min="1893" max="1893" width="14.109375" style="1" bestFit="1" customWidth="1"/>
    <col min="1894" max="1894" width="11.44140625" style="1" bestFit="1" customWidth="1"/>
    <col min="1895" max="2138" width="11.44140625" style="1" customWidth="1"/>
    <col min="2139" max="2139" width="9.44140625" style="1" customWidth="1"/>
    <col min="2140" max="2140" width="51.44140625" style="1"/>
    <col min="2141" max="2141" width="8.6640625" style="1" customWidth="1"/>
    <col min="2142" max="2142" width="50.6640625" style="1" customWidth="1"/>
    <col min="2143" max="2143" width="22.6640625" style="1" customWidth="1"/>
    <col min="2144" max="2144" width="7.6640625" style="1" customWidth="1"/>
    <col min="2145" max="2145" width="10.6640625" style="1" customWidth="1"/>
    <col min="2146" max="2146" width="16.44140625" style="1" customWidth="1"/>
    <col min="2147" max="2147" width="18.6640625" style="1" customWidth="1"/>
    <col min="2148" max="2148" width="11.44140625" style="1" bestFit="1" customWidth="1"/>
    <col min="2149" max="2149" width="14.109375" style="1" bestFit="1" customWidth="1"/>
    <col min="2150" max="2150" width="11.44140625" style="1" bestFit="1" customWidth="1"/>
    <col min="2151" max="2394" width="11.44140625" style="1" customWidth="1"/>
    <col min="2395" max="2395" width="9.44140625" style="1" customWidth="1"/>
    <col min="2396" max="2396" width="51.44140625" style="1"/>
    <col min="2397" max="2397" width="8.6640625" style="1" customWidth="1"/>
    <col min="2398" max="2398" width="50.6640625" style="1" customWidth="1"/>
    <col min="2399" max="2399" width="22.6640625" style="1" customWidth="1"/>
    <col min="2400" max="2400" width="7.6640625" style="1" customWidth="1"/>
    <col min="2401" max="2401" width="10.6640625" style="1" customWidth="1"/>
    <col min="2402" max="2402" width="16.44140625" style="1" customWidth="1"/>
    <col min="2403" max="2403" width="18.6640625" style="1" customWidth="1"/>
    <col min="2404" max="2404" width="11.44140625" style="1" bestFit="1" customWidth="1"/>
    <col min="2405" max="2405" width="14.109375" style="1" bestFit="1" customWidth="1"/>
    <col min="2406" max="2406" width="11.44140625" style="1" bestFit="1" customWidth="1"/>
    <col min="2407" max="2650" width="11.44140625" style="1" customWidth="1"/>
    <col min="2651" max="2651" width="9.44140625" style="1" customWidth="1"/>
    <col min="2652" max="2652" width="51.44140625" style="1"/>
    <col min="2653" max="2653" width="8.6640625" style="1" customWidth="1"/>
    <col min="2654" max="2654" width="50.6640625" style="1" customWidth="1"/>
    <col min="2655" max="2655" width="22.6640625" style="1" customWidth="1"/>
    <col min="2656" max="2656" width="7.6640625" style="1" customWidth="1"/>
    <col min="2657" max="2657" width="10.6640625" style="1" customWidth="1"/>
    <col min="2658" max="2658" width="16.44140625" style="1" customWidth="1"/>
    <col min="2659" max="2659" width="18.6640625" style="1" customWidth="1"/>
    <col min="2660" max="2660" width="11.44140625" style="1" bestFit="1" customWidth="1"/>
    <col min="2661" max="2661" width="14.109375" style="1" bestFit="1" customWidth="1"/>
    <col min="2662" max="2662" width="11.44140625" style="1" bestFit="1" customWidth="1"/>
    <col min="2663" max="2906" width="11.44140625" style="1" customWidth="1"/>
    <col min="2907" max="2907" width="9.44140625" style="1" customWidth="1"/>
    <col min="2908" max="2908" width="51.44140625" style="1"/>
    <col min="2909" max="2909" width="8.6640625" style="1" customWidth="1"/>
    <col min="2910" max="2910" width="50.6640625" style="1" customWidth="1"/>
    <col min="2911" max="2911" width="22.6640625" style="1" customWidth="1"/>
    <col min="2912" max="2912" width="7.6640625" style="1" customWidth="1"/>
    <col min="2913" max="2913" width="10.6640625" style="1" customWidth="1"/>
    <col min="2914" max="2914" width="16.44140625" style="1" customWidth="1"/>
    <col min="2915" max="2915" width="18.6640625" style="1" customWidth="1"/>
    <col min="2916" max="2916" width="11.44140625" style="1" bestFit="1" customWidth="1"/>
    <col min="2917" max="2917" width="14.109375" style="1" bestFit="1" customWidth="1"/>
    <col min="2918" max="2918" width="11.44140625" style="1" bestFit="1" customWidth="1"/>
    <col min="2919" max="3162" width="11.44140625" style="1" customWidth="1"/>
    <col min="3163" max="3163" width="9.44140625" style="1" customWidth="1"/>
    <col min="3164" max="3164" width="51.44140625" style="1"/>
    <col min="3165" max="3165" width="8.6640625" style="1" customWidth="1"/>
    <col min="3166" max="3166" width="50.6640625" style="1" customWidth="1"/>
    <col min="3167" max="3167" width="22.6640625" style="1" customWidth="1"/>
    <col min="3168" max="3168" width="7.6640625" style="1" customWidth="1"/>
    <col min="3169" max="3169" width="10.6640625" style="1" customWidth="1"/>
    <col min="3170" max="3170" width="16.44140625" style="1" customWidth="1"/>
    <col min="3171" max="3171" width="18.6640625" style="1" customWidth="1"/>
    <col min="3172" max="3172" width="11.44140625" style="1" bestFit="1" customWidth="1"/>
    <col min="3173" max="3173" width="14.109375" style="1" bestFit="1" customWidth="1"/>
    <col min="3174" max="3174" width="11.44140625" style="1" bestFit="1" customWidth="1"/>
    <col min="3175" max="3418" width="11.44140625" style="1" customWidth="1"/>
    <col min="3419" max="3419" width="9.44140625" style="1" customWidth="1"/>
    <col min="3420" max="3420" width="51.44140625" style="1"/>
    <col min="3421" max="3421" width="8.6640625" style="1" customWidth="1"/>
    <col min="3422" max="3422" width="50.6640625" style="1" customWidth="1"/>
    <col min="3423" max="3423" width="22.6640625" style="1" customWidth="1"/>
    <col min="3424" max="3424" width="7.6640625" style="1" customWidth="1"/>
    <col min="3425" max="3425" width="10.6640625" style="1" customWidth="1"/>
    <col min="3426" max="3426" width="16.44140625" style="1" customWidth="1"/>
    <col min="3427" max="3427" width="18.6640625" style="1" customWidth="1"/>
    <col min="3428" max="3428" width="11.44140625" style="1" bestFit="1" customWidth="1"/>
    <col min="3429" max="3429" width="14.109375" style="1" bestFit="1" customWidth="1"/>
    <col min="3430" max="3430" width="11.44140625" style="1" bestFit="1" customWidth="1"/>
    <col min="3431" max="3674" width="11.44140625" style="1" customWidth="1"/>
    <col min="3675" max="3675" width="9.44140625" style="1" customWidth="1"/>
    <col min="3676" max="3676" width="51.44140625" style="1"/>
    <col min="3677" max="3677" width="8.6640625" style="1" customWidth="1"/>
    <col min="3678" max="3678" width="50.6640625" style="1" customWidth="1"/>
    <col min="3679" max="3679" width="22.6640625" style="1" customWidth="1"/>
    <col min="3680" max="3680" width="7.6640625" style="1" customWidth="1"/>
    <col min="3681" max="3681" width="10.6640625" style="1" customWidth="1"/>
    <col min="3682" max="3682" width="16.44140625" style="1" customWidth="1"/>
    <col min="3683" max="3683" width="18.6640625" style="1" customWidth="1"/>
    <col min="3684" max="3684" width="11.44140625" style="1" bestFit="1" customWidth="1"/>
    <col min="3685" max="3685" width="14.109375" style="1" bestFit="1" customWidth="1"/>
    <col min="3686" max="3686" width="11.44140625" style="1" bestFit="1" customWidth="1"/>
    <col min="3687" max="3930" width="11.44140625" style="1" customWidth="1"/>
    <col min="3931" max="3931" width="9.44140625" style="1" customWidth="1"/>
    <col min="3932" max="3932" width="51.44140625" style="1"/>
    <col min="3933" max="3933" width="8.6640625" style="1" customWidth="1"/>
    <col min="3934" max="3934" width="50.6640625" style="1" customWidth="1"/>
    <col min="3935" max="3935" width="22.6640625" style="1" customWidth="1"/>
    <col min="3936" max="3936" width="7.6640625" style="1" customWidth="1"/>
    <col min="3937" max="3937" width="10.6640625" style="1" customWidth="1"/>
    <col min="3938" max="3938" width="16.44140625" style="1" customWidth="1"/>
    <col min="3939" max="3939" width="18.6640625" style="1" customWidth="1"/>
    <col min="3940" max="3940" width="11.44140625" style="1" bestFit="1" customWidth="1"/>
    <col min="3941" max="3941" width="14.109375" style="1" bestFit="1" customWidth="1"/>
    <col min="3942" max="3942" width="11.44140625" style="1" bestFit="1" customWidth="1"/>
    <col min="3943" max="4186" width="11.44140625" style="1" customWidth="1"/>
    <col min="4187" max="4187" width="9.44140625" style="1" customWidth="1"/>
    <col min="4188" max="4188" width="51.44140625" style="1"/>
    <col min="4189" max="4189" width="8.6640625" style="1" customWidth="1"/>
    <col min="4190" max="4190" width="50.6640625" style="1" customWidth="1"/>
    <col min="4191" max="4191" width="22.6640625" style="1" customWidth="1"/>
    <col min="4192" max="4192" width="7.6640625" style="1" customWidth="1"/>
    <col min="4193" max="4193" width="10.6640625" style="1" customWidth="1"/>
    <col min="4194" max="4194" width="16.44140625" style="1" customWidth="1"/>
    <col min="4195" max="4195" width="18.6640625" style="1" customWidth="1"/>
    <col min="4196" max="4196" width="11.44140625" style="1" bestFit="1" customWidth="1"/>
    <col min="4197" max="4197" width="14.109375" style="1" bestFit="1" customWidth="1"/>
    <col min="4198" max="4198" width="11.44140625" style="1" bestFit="1" customWidth="1"/>
    <col min="4199" max="4442" width="11.44140625" style="1" customWidth="1"/>
    <col min="4443" max="4443" width="9.44140625" style="1" customWidth="1"/>
    <col min="4444" max="4444" width="51.44140625" style="1"/>
    <col min="4445" max="4445" width="8.6640625" style="1" customWidth="1"/>
    <col min="4446" max="4446" width="50.6640625" style="1" customWidth="1"/>
    <col min="4447" max="4447" width="22.6640625" style="1" customWidth="1"/>
    <col min="4448" max="4448" width="7.6640625" style="1" customWidth="1"/>
    <col min="4449" max="4449" width="10.6640625" style="1" customWidth="1"/>
    <col min="4450" max="4450" width="16.44140625" style="1" customWidth="1"/>
    <col min="4451" max="4451" width="18.6640625" style="1" customWidth="1"/>
    <col min="4452" max="4452" width="11.44140625" style="1" bestFit="1" customWidth="1"/>
    <col min="4453" max="4453" width="14.109375" style="1" bestFit="1" customWidth="1"/>
    <col min="4454" max="4454" width="11.44140625" style="1" bestFit="1" customWidth="1"/>
    <col min="4455" max="4698" width="11.44140625" style="1" customWidth="1"/>
    <col min="4699" max="4699" width="9.44140625" style="1" customWidth="1"/>
    <col min="4700" max="4700" width="51.44140625" style="1"/>
    <col min="4701" max="4701" width="8.6640625" style="1" customWidth="1"/>
    <col min="4702" max="4702" width="50.6640625" style="1" customWidth="1"/>
    <col min="4703" max="4703" width="22.6640625" style="1" customWidth="1"/>
    <col min="4704" max="4704" width="7.6640625" style="1" customWidth="1"/>
    <col min="4705" max="4705" width="10.6640625" style="1" customWidth="1"/>
    <col min="4706" max="4706" width="16.44140625" style="1" customWidth="1"/>
    <col min="4707" max="4707" width="18.6640625" style="1" customWidth="1"/>
    <col min="4708" max="4708" width="11.44140625" style="1" bestFit="1" customWidth="1"/>
    <col min="4709" max="4709" width="14.109375" style="1" bestFit="1" customWidth="1"/>
    <col min="4710" max="4710" width="11.44140625" style="1" bestFit="1" customWidth="1"/>
    <col min="4711" max="4954" width="11.44140625" style="1" customWidth="1"/>
    <col min="4955" max="4955" width="9.44140625" style="1" customWidth="1"/>
    <col min="4956" max="4956" width="51.44140625" style="1"/>
    <col min="4957" max="4957" width="8.6640625" style="1" customWidth="1"/>
    <col min="4958" max="4958" width="50.6640625" style="1" customWidth="1"/>
    <col min="4959" max="4959" width="22.6640625" style="1" customWidth="1"/>
    <col min="4960" max="4960" width="7.6640625" style="1" customWidth="1"/>
    <col min="4961" max="4961" width="10.6640625" style="1" customWidth="1"/>
    <col min="4962" max="4962" width="16.44140625" style="1" customWidth="1"/>
    <col min="4963" max="4963" width="18.6640625" style="1" customWidth="1"/>
    <col min="4964" max="4964" width="11.44140625" style="1" bestFit="1" customWidth="1"/>
    <col min="4965" max="4965" width="14.109375" style="1" bestFit="1" customWidth="1"/>
    <col min="4966" max="4966" width="11.44140625" style="1" bestFit="1" customWidth="1"/>
    <col min="4967" max="5210" width="11.44140625" style="1" customWidth="1"/>
    <col min="5211" max="5211" width="9.44140625" style="1" customWidth="1"/>
    <col min="5212" max="5212" width="51.44140625" style="1"/>
    <col min="5213" max="5213" width="8.6640625" style="1" customWidth="1"/>
    <col min="5214" max="5214" width="50.6640625" style="1" customWidth="1"/>
    <col min="5215" max="5215" width="22.6640625" style="1" customWidth="1"/>
    <col min="5216" max="5216" width="7.6640625" style="1" customWidth="1"/>
    <col min="5217" max="5217" width="10.6640625" style="1" customWidth="1"/>
    <col min="5218" max="5218" width="16.44140625" style="1" customWidth="1"/>
    <col min="5219" max="5219" width="18.6640625" style="1" customWidth="1"/>
    <col min="5220" max="5220" width="11.44140625" style="1" bestFit="1" customWidth="1"/>
    <col min="5221" max="5221" width="14.109375" style="1" bestFit="1" customWidth="1"/>
    <col min="5222" max="5222" width="11.44140625" style="1" bestFit="1" customWidth="1"/>
    <col min="5223" max="5466" width="11.44140625" style="1" customWidth="1"/>
    <col min="5467" max="5467" width="9.44140625" style="1" customWidth="1"/>
    <col min="5468" max="5468" width="51.44140625" style="1"/>
    <col min="5469" max="5469" width="8.6640625" style="1" customWidth="1"/>
    <col min="5470" max="5470" width="50.6640625" style="1" customWidth="1"/>
    <col min="5471" max="5471" width="22.6640625" style="1" customWidth="1"/>
    <col min="5472" max="5472" width="7.6640625" style="1" customWidth="1"/>
    <col min="5473" max="5473" width="10.6640625" style="1" customWidth="1"/>
    <col min="5474" max="5474" width="16.44140625" style="1" customWidth="1"/>
    <col min="5475" max="5475" width="18.6640625" style="1" customWidth="1"/>
    <col min="5476" max="5476" width="11.44140625" style="1" bestFit="1" customWidth="1"/>
    <col min="5477" max="5477" width="14.109375" style="1" bestFit="1" customWidth="1"/>
    <col min="5478" max="5478" width="11.44140625" style="1" bestFit="1" customWidth="1"/>
    <col min="5479" max="5722" width="11.44140625" style="1" customWidth="1"/>
    <col min="5723" max="5723" width="9.44140625" style="1" customWidth="1"/>
    <col min="5724" max="5724" width="51.44140625" style="1"/>
    <col min="5725" max="5725" width="8.6640625" style="1" customWidth="1"/>
    <col min="5726" max="5726" width="50.6640625" style="1" customWidth="1"/>
    <col min="5727" max="5727" width="22.6640625" style="1" customWidth="1"/>
    <col min="5728" max="5728" width="7.6640625" style="1" customWidth="1"/>
    <col min="5729" max="5729" width="10.6640625" style="1" customWidth="1"/>
    <col min="5730" max="5730" width="16.44140625" style="1" customWidth="1"/>
    <col min="5731" max="5731" width="18.6640625" style="1" customWidth="1"/>
    <col min="5732" max="5732" width="11.44140625" style="1" bestFit="1" customWidth="1"/>
    <col min="5733" max="5733" width="14.109375" style="1" bestFit="1" customWidth="1"/>
    <col min="5734" max="5734" width="11.44140625" style="1" bestFit="1" customWidth="1"/>
    <col min="5735" max="5978" width="11.44140625" style="1" customWidth="1"/>
    <col min="5979" max="5979" width="9.44140625" style="1" customWidth="1"/>
    <col min="5980" max="5980" width="51.44140625" style="1"/>
    <col min="5981" max="5981" width="8.6640625" style="1" customWidth="1"/>
    <col min="5982" max="5982" width="50.6640625" style="1" customWidth="1"/>
    <col min="5983" max="5983" width="22.6640625" style="1" customWidth="1"/>
    <col min="5984" max="5984" width="7.6640625" style="1" customWidth="1"/>
    <col min="5985" max="5985" width="10.6640625" style="1" customWidth="1"/>
    <col min="5986" max="5986" width="16.44140625" style="1" customWidth="1"/>
    <col min="5987" max="5987" width="18.6640625" style="1" customWidth="1"/>
    <col min="5988" max="5988" width="11.44140625" style="1" bestFit="1" customWidth="1"/>
    <col min="5989" max="5989" width="14.109375" style="1" bestFit="1" customWidth="1"/>
    <col min="5990" max="5990" width="11.44140625" style="1" bestFit="1" customWidth="1"/>
    <col min="5991" max="6234" width="11.44140625" style="1" customWidth="1"/>
    <col min="6235" max="6235" width="9.44140625" style="1" customWidth="1"/>
    <col min="6236" max="6236" width="51.44140625" style="1"/>
    <col min="6237" max="6237" width="8.6640625" style="1" customWidth="1"/>
    <col min="6238" max="6238" width="50.6640625" style="1" customWidth="1"/>
    <col min="6239" max="6239" width="22.6640625" style="1" customWidth="1"/>
    <col min="6240" max="6240" width="7.6640625" style="1" customWidth="1"/>
    <col min="6241" max="6241" width="10.6640625" style="1" customWidth="1"/>
    <col min="6242" max="6242" width="16.44140625" style="1" customWidth="1"/>
    <col min="6243" max="6243" width="18.6640625" style="1" customWidth="1"/>
    <col min="6244" max="6244" width="11.44140625" style="1" bestFit="1" customWidth="1"/>
    <col min="6245" max="6245" width="14.109375" style="1" bestFit="1" customWidth="1"/>
    <col min="6246" max="6246" width="11.44140625" style="1" bestFit="1" customWidth="1"/>
    <col min="6247" max="6490" width="11.44140625" style="1" customWidth="1"/>
    <col min="6491" max="6491" width="9.44140625" style="1" customWidth="1"/>
    <col min="6492" max="6492" width="51.44140625" style="1"/>
    <col min="6493" max="6493" width="8.6640625" style="1" customWidth="1"/>
    <col min="6494" max="6494" width="50.6640625" style="1" customWidth="1"/>
    <col min="6495" max="6495" width="22.6640625" style="1" customWidth="1"/>
    <col min="6496" max="6496" width="7.6640625" style="1" customWidth="1"/>
    <col min="6497" max="6497" width="10.6640625" style="1" customWidth="1"/>
    <col min="6498" max="6498" width="16.44140625" style="1" customWidth="1"/>
    <col min="6499" max="6499" width="18.6640625" style="1" customWidth="1"/>
    <col min="6500" max="6500" width="11.44140625" style="1" bestFit="1" customWidth="1"/>
    <col min="6501" max="6501" width="14.109375" style="1" bestFit="1" customWidth="1"/>
    <col min="6502" max="6502" width="11.44140625" style="1" bestFit="1" customWidth="1"/>
    <col min="6503" max="6746" width="11.44140625" style="1" customWidth="1"/>
    <col min="6747" max="6747" width="9.44140625" style="1" customWidth="1"/>
    <col min="6748" max="6748" width="51.44140625" style="1"/>
    <col min="6749" max="6749" width="8.6640625" style="1" customWidth="1"/>
    <col min="6750" max="6750" width="50.6640625" style="1" customWidth="1"/>
    <col min="6751" max="6751" width="22.6640625" style="1" customWidth="1"/>
    <col min="6752" max="6752" width="7.6640625" style="1" customWidth="1"/>
    <col min="6753" max="6753" width="10.6640625" style="1" customWidth="1"/>
    <col min="6754" max="6754" width="16.44140625" style="1" customWidth="1"/>
    <col min="6755" max="6755" width="18.6640625" style="1" customWidth="1"/>
    <col min="6756" max="6756" width="11.44140625" style="1" bestFit="1" customWidth="1"/>
    <col min="6757" max="6757" width="14.109375" style="1" bestFit="1" customWidth="1"/>
    <col min="6758" max="6758" width="11.44140625" style="1" bestFit="1" customWidth="1"/>
    <col min="6759" max="7002" width="11.44140625" style="1" customWidth="1"/>
    <col min="7003" max="7003" width="9.44140625" style="1" customWidth="1"/>
    <col min="7004" max="7004" width="51.44140625" style="1"/>
    <col min="7005" max="7005" width="8.6640625" style="1" customWidth="1"/>
    <col min="7006" max="7006" width="50.6640625" style="1" customWidth="1"/>
    <col min="7007" max="7007" width="22.6640625" style="1" customWidth="1"/>
    <col min="7008" max="7008" width="7.6640625" style="1" customWidth="1"/>
    <col min="7009" max="7009" width="10.6640625" style="1" customWidth="1"/>
    <col min="7010" max="7010" width="16.44140625" style="1" customWidth="1"/>
    <col min="7011" max="7011" width="18.6640625" style="1" customWidth="1"/>
    <col min="7012" max="7012" width="11.44140625" style="1" bestFit="1" customWidth="1"/>
    <col min="7013" max="7013" width="14.109375" style="1" bestFit="1" customWidth="1"/>
    <col min="7014" max="7014" width="11.44140625" style="1" bestFit="1" customWidth="1"/>
    <col min="7015" max="7258" width="11.44140625" style="1" customWidth="1"/>
    <col min="7259" max="7259" width="9.44140625" style="1" customWidth="1"/>
    <col min="7260" max="7260" width="51.44140625" style="1"/>
    <col min="7261" max="7261" width="8.6640625" style="1" customWidth="1"/>
    <col min="7262" max="7262" width="50.6640625" style="1" customWidth="1"/>
    <col min="7263" max="7263" width="22.6640625" style="1" customWidth="1"/>
    <col min="7264" max="7264" width="7.6640625" style="1" customWidth="1"/>
    <col min="7265" max="7265" width="10.6640625" style="1" customWidth="1"/>
    <col min="7266" max="7266" width="16.44140625" style="1" customWidth="1"/>
    <col min="7267" max="7267" width="18.6640625" style="1" customWidth="1"/>
    <col min="7268" max="7268" width="11.44140625" style="1" bestFit="1" customWidth="1"/>
    <col min="7269" max="7269" width="14.109375" style="1" bestFit="1" customWidth="1"/>
    <col min="7270" max="7270" width="11.44140625" style="1" bestFit="1" customWidth="1"/>
    <col min="7271" max="7514" width="11.44140625" style="1" customWidth="1"/>
    <col min="7515" max="7515" width="9.44140625" style="1" customWidth="1"/>
    <col min="7516" max="7516" width="51.44140625" style="1"/>
    <col min="7517" max="7517" width="8.6640625" style="1" customWidth="1"/>
    <col min="7518" max="7518" width="50.6640625" style="1" customWidth="1"/>
    <col min="7519" max="7519" width="22.6640625" style="1" customWidth="1"/>
    <col min="7520" max="7520" width="7.6640625" style="1" customWidth="1"/>
    <col min="7521" max="7521" width="10.6640625" style="1" customWidth="1"/>
    <col min="7522" max="7522" width="16.44140625" style="1" customWidth="1"/>
    <col min="7523" max="7523" width="18.6640625" style="1" customWidth="1"/>
    <col min="7524" max="7524" width="11.44140625" style="1" bestFit="1" customWidth="1"/>
    <col min="7525" max="7525" width="14.109375" style="1" bestFit="1" customWidth="1"/>
    <col min="7526" max="7526" width="11.44140625" style="1" bestFit="1" customWidth="1"/>
    <col min="7527" max="7770" width="11.44140625" style="1" customWidth="1"/>
    <col min="7771" max="7771" width="9.44140625" style="1" customWidth="1"/>
    <col min="7772" max="7772" width="51.44140625" style="1"/>
    <col min="7773" max="7773" width="8.6640625" style="1" customWidth="1"/>
    <col min="7774" max="7774" width="50.6640625" style="1" customWidth="1"/>
    <col min="7775" max="7775" width="22.6640625" style="1" customWidth="1"/>
    <col min="7776" max="7776" width="7.6640625" style="1" customWidth="1"/>
    <col min="7777" max="7777" width="10.6640625" style="1" customWidth="1"/>
    <col min="7778" max="7778" width="16.44140625" style="1" customWidth="1"/>
    <col min="7779" max="7779" width="18.6640625" style="1" customWidth="1"/>
    <col min="7780" max="7780" width="11.44140625" style="1" bestFit="1" customWidth="1"/>
    <col min="7781" max="7781" width="14.109375" style="1" bestFit="1" customWidth="1"/>
    <col min="7782" max="7782" width="11.44140625" style="1" bestFit="1" customWidth="1"/>
    <col min="7783" max="8026" width="11.44140625" style="1" customWidth="1"/>
    <col min="8027" max="8027" width="9.44140625" style="1" customWidth="1"/>
    <col min="8028" max="8028" width="51.44140625" style="1"/>
    <col min="8029" max="8029" width="8.6640625" style="1" customWidth="1"/>
    <col min="8030" max="8030" width="50.6640625" style="1" customWidth="1"/>
    <col min="8031" max="8031" width="22.6640625" style="1" customWidth="1"/>
    <col min="8032" max="8032" width="7.6640625" style="1" customWidth="1"/>
    <col min="8033" max="8033" width="10.6640625" style="1" customWidth="1"/>
    <col min="8034" max="8034" width="16.44140625" style="1" customWidth="1"/>
    <col min="8035" max="8035" width="18.6640625" style="1" customWidth="1"/>
    <col min="8036" max="8036" width="11.44140625" style="1" bestFit="1" customWidth="1"/>
    <col min="8037" max="8037" width="14.109375" style="1" bestFit="1" customWidth="1"/>
    <col min="8038" max="8038" width="11.44140625" style="1" bestFit="1" customWidth="1"/>
    <col min="8039" max="8282" width="11.44140625" style="1" customWidth="1"/>
    <col min="8283" max="8283" width="9.44140625" style="1" customWidth="1"/>
    <col min="8284" max="8284" width="51.44140625" style="1"/>
    <col min="8285" max="8285" width="8.6640625" style="1" customWidth="1"/>
    <col min="8286" max="8286" width="50.6640625" style="1" customWidth="1"/>
    <col min="8287" max="8287" width="22.6640625" style="1" customWidth="1"/>
    <col min="8288" max="8288" width="7.6640625" style="1" customWidth="1"/>
    <col min="8289" max="8289" width="10.6640625" style="1" customWidth="1"/>
    <col min="8290" max="8290" width="16.44140625" style="1" customWidth="1"/>
    <col min="8291" max="8291" width="18.6640625" style="1" customWidth="1"/>
    <col min="8292" max="8292" width="11.44140625" style="1" bestFit="1" customWidth="1"/>
    <col min="8293" max="8293" width="14.109375" style="1" bestFit="1" customWidth="1"/>
    <col min="8294" max="8294" width="11.44140625" style="1" bestFit="1" customWidth="1"/>
    <col min="8295" max="8538" width="11.44140625" style="1" customWidth="1"/>
    <col min="8539" max="8539" width="9.44140625" style="1" customWidth="1"/>
    <col min="8540" max="8540" width="51.44140625" style="1"/>
    <col min="8541" max="8541" width="8.6640625" style="1" customWidth="1"/>
    <col min="8542" max="8542" width="50.6640625" style="1" customWidth="1"/>
    <col min="8543" max="8543" width="22.6640625" style="1" customWidth="1"/>
    <col min="8544" max="8544" width="7.6640625" style="1" customWidth="1"/>
    <col min="8545" max="8545" width="10.6640625" style="1" customWidth="1"/>
    <col min="8546" max="8546" width="16.44140625" style="1" customWidth="1"/>
    <col min="8547" max="8547" width="18.6640625" style="1" customWidth="1"/>
    <col min="8548" max="8548" width="11.44140625" style="1" bestFit="1" customWidth="1"/>
    <col min="8549" max="8549" width="14.109375" style="1" bestFit="1" customWidth="1"/>
    <col min="8550" max="8550" width="11.44140625" style="1" bestFit="1" customWidth="1"/>
    <col min="8551" max="8794" width="11.44140625" style="1" customWidth="1"/>
    <col min="8795" max="8795" width="9.44140625" style="1" customWidth="1"/>
    <col min="8796" max="8796" width="51.44140625" style="1"/>
    <col min="8797" max="8797" width="8.6640625" style="1" customWidth="1"/>
    <col min="8798" max="8798" width="50.6640625" style="1" customWidth="1"/>
    <col min="8799" max="8799" width="22.6640625" style="1" customWidth="1"/>
    <col min="8800" max="8800" width="7.6640625" style="1" customWidth="1"/>
    <col min="8801" max="8801" width="10.6640625" style="1" customWidth="1"/>
    <col min="8802" max="8802" width="16.44140625" style="1" customWidth="1"/>
    <col min="8803" max="8803" width="18.6640625" style="1" customWidth="1"/>
    <col min="8804" max="8804" width="11.44140625" style="1" bestFit="1" customWidth="1"/>
    <col min="8805" max="8805" width="14.109375" style="1" bestFit="1" customWidth="1"/>
    <col min="8806" max="8806" width="11.44140625" style="1" bestFit="1" customWidth="1"/>
    <col min="8807" max="9050" width="11.44140625" style="1" customWidth="1"/>
    <col min="9051" max="9051" width="9.44140625" style="1" customWidth="1"/>
    <col min="9052" max="9052" width="51.44140625" style="1"/>
    <col min="9053" max="9053" width="8.6640625" style="1" customWidth="1"/>
    <col min="9054" max="9054" width="50.6640625" style="1" customWidth="1"/>
    <col min="9055" max="9055" width="22.6640625" style="1" customWidth="1"/>
    <col min="9056" max="9056" width="7.6640625" style="1" customWidth="1"/>
    <col min="9057" max="9057" width="10.6640625" style="1" customWidth="1"/>
    <col min="9058" max="9058" width="16.44140625" style="1" customWidth="1"/>
    <col min="9059" max="9059" width="18.6640625" style="1" customWidth="1"/>
    <col min="9060" max="9060" width="11.44140625" style="1" bestFit="1" customWidth="1"/>
    <col min="9061" max="9061" width="14.109375" style="1" bestFit="1" customWidth="1"/>
    <col min="9062" max="9062" width="11.44140625" style="1" bestFit="1" customWidth="1"/>
    <col min="9063" max="9306" width="11.44140625" style="1" customWidth="1"/>
    <col min="9307" max="9307" width="9.44140625" style="1" customWidth="1"/>
    <col min="9308" max="9308" width="51.44140625" style="1"/>
    <col min="9309" max="9309" width="8.6640625" style="1" customWidth="1"/>
    <col min="9310" max="9310" width="50.6640625" style="1" customWidth="1"/>
    <col min="9311" max="9311" width="22.6640625" style="1" customWidth="1"/>
    <col min="9312" max="9312" width="7.6640625" style="1" customWidth="1"/>
    <col min="9313" max="9313" width="10.6640625" style="1" customWidth="1"/>
    <col min="9314" max="9314" width="16.44140625" style="1" customWidth="1"/>
    <col min="9315" max="9315" width="18.6640625" style="1" customWidth="1"/>
    <col min="9316" max="9316" width="11.44140625" style="1" bestFit="1" customWidth="1"/>
    <col min="9317" max="9317" width="14.109375" style="1" bestFit="1" customWidth="1"/>
    <col min="9318" max="9318" width="11.44140625" style="1" bestFit="1" customWidth="1"/>
    <col min="9319" max="9562" width="11.44140625" style="1" customWidth="1"/>
    <col min="9563" max="9563" width="9.44140625" style="1" customWidth="1"/>
    <col min="9564" max="9564" width="51.44140625" style="1"/>
    <col min="9565" max="9565" width="8.6640625" style="1" customWidth="1"/>
    <col min="9566" max="9566" width="50.6640625" style="1" customWidth="1"/>
    <col min="9567" max="9567" width="22.6640625" style="1" customWidth="1"/>
    <col min="9568" max="9568" width="7.6640625" style="1" customWidth="1"/>
    <col min="9569" max="9569" width="10.6640625" style="1" customWidth="1"/>
    <col min="9570" max="9570" width="16.44140625" style="1" customWidth="1"/>
    <col min="9571" max="9571" width="18.6640625" style="1" customWidth="1"/>
    <col min="9572" max="9572" width="11.44140625" style="1" bestFit="1" customWidth="1"/>
    <col min="9573" max="9573" width="14.109375" style="1" bestFit="1" customWidth="1"/>
    <col min="9574" max="9574" width="11.44140625" style="1" bestFit="1" customWidth="1"/>
    <col min="9575" max="9818" width="11.44140625" style="1" customWidth="1"/>
    <col min="9819" max="9819" width="9.44140625" style="1" customWidth="1"/>
    <col min="9820" max="9820" width="51.44140625" style="1"/>
    <col min="9821" max="9821" width="8.6640625" style="1" customWidth="1"/>
    <col min="9822" max="9822" width="50.6640625" style="1" customWidth="1"/>
    <col min="9823" max="9823" width="22.6640625" style="1" customWidth="1"/>
    <col min="9824" max="9824" width="7.6640625" style="1" customWidth="1"/>
    <col min="9825" max="9825" width="10.6640625" style="1" customWidth="1"/>
    <col min="9826" max="9826" width="16.44140625" style="1" customWidth="1"/>
    <col min="9827" max="9827" width="18.6640625" style="1" customWidth="1"/>
    <col min="9828" max="9828" width="11.44140625" style="1" bestFit="1" customWidth="1"/>
    <col min="9829" max="9829" width="14.109375" style="1" bestFit="1" customWidth="1"/>
    <col min="9830" max="9830" width="11.44140625" style="1" bestFit="1" customWidth="1"/>
    <col min="9831" max="10074" width="11.44140625" style="1" customWidth="1"/>
    <col min="10075" max="10075" width="9.44140625" style="1" customWidth="1"/>
    <col min="10076" max="10076" width="51.44140625" style="1"/>
    <col min="10077" max="10077" width="8.6640625" style="1" customWidth="1"/>
    <col min="10078" max="10078" width="50.6640625" style="1" customWidth="1"/>
    <col min="10079" max="10079" width="22.6640625" style="1" customWidth="1"/>
    <col min="10080" max="10080" width="7.6640625" style="1" customWidth="1"/>
    <col min="10081" max="10081" width="10.6640625" style="1" customWidth="1"/>
    <col min="10082" max="10082" width="16.44140625" style="1" customWidth="1"/>
    <col min="10083" max="10083" width="18.6640625" style="1" customWidth="1"/>
    <col min="10084" max="10084" width="11.44140625" style="1" bestFit="1" customWidth="1"/>
    <col min="10085" max="10085" width="14.109375" style="1" bestFit="1" customWidth="1"/>
    <col min="10086" max="10086" width="11.44140625" style="1" bestFit="1" customWidth="1"/>
    <col min="10087" max="10330" width="11.44140625" style="1" customWidth="1"/>
    <col min="10331" max="10331" width="9.44140625" style="1" customWidth="1"/>
    <col min="10332" max="10332" width="51.44140625" style="1"/>
    <col min="10333" max="10333" width="8.6640625" style="1" customWidth="1"/>
    <col min="10334" max="10334" width="50.6640625" style="1" customWidth="1"/>
    <col min="10335" max="10335" width="22.6640625" style="1" customWidth="1"/>
    <col min="10336" max="10336" width="7.6640625" style="1" customWidth="1"/>
    <col min="10337" max="10337" width="10.6640625" style="1" customWidth="1"/>
    <col min="10338" max="10338" width="16.44140625" style="1" customWidth="1"/>
    <col min="10339" max="10339" width="18.6640625" style="1" customWidth="1"/>
    <col min="10340" max="10340" width="11.44140625" style="1" bestFit="1" customWidth="1"/>
    <col min="10341" max="10341" width="14.109375" style="1" bestFit="1" customWidth="1"/>
    <col min="10342" max="10342" width="11.44140625" style="1" bestFit="1" customWidth="1"/>
    <col min="10343" max="10586" width="11.44140625" style="1" customWidth="1"/>
    <col min="10587" max="10587" width="9.44140625" style="1" customWidth="1"/>
    <col min="10588" max="10588" width="51.44140625" style="1"/>
    <col min="10589" max="10589" width="8.6640625" style="1" customWidth="1"/>
    <col min="10590" max="10590" width="50.6640625" style="1" customWidth="1"/>
    <col min="10591" max="10591" width="22.6640625" style="1" customWidth="1"/>
    <col min="10592" max="10592" width="7.6640625" style="1" customWidth="1"/>
    <col min="10593" max="10593" width="10.6640625" style="1" customWidth="1"/>
    <col min="10594" max="10594" width="16.44140625" style="1" customWidth="1"/>
    <col min="10595" max="10595" width="18.6640625" style="1" customWidth="1"/>
    <col min="10596" max="10596" width="11.44140625" style="1" bestFit="1" customWidth="1"/>
    <col min="10597" max="10597" width="14.109375" style="1" bestFit="1" customWidth="1"/>
    <col min="10598" max="10598" width="11.44140625" style="1" bestFit="1" customWidth="1"/>
    <col min="10599" max="10842" width="11.44140625" style="1" customWidth="1"/>
    <col min="10843" max="10843" width="9.44140625" style="1" customWidth="1"/>
    <col min="10844" max="10844" width="51.44140625" style="1"/>
    <col min="10845" max="10845" width="8.6640625" style="1" customWidth="1"/>
    <col min="10846" max="10846" width="50.6640625" style="1" customWidth="1"/>
    <col min="10847" max="10847" width="22.6640625" style="1" customWidth="1"/>
    <col min="10848" max="10848" width="7.6640625" style="1" customWidth="1"/>
    <col min="10849" max="10849" width="10.6640625" style="1" customWidth="1"/>
    <col min="10850" max="10850" width="16.44140625" style="1" customWidth="1"/>
    <col min="10851" max="10851" width="18.6640625" style="1" customWidth="1"/>
    <col min="10852" max="10852" width="11.44140625" style="1" bestFit="1" customWidth="1"/>
    <col min="10853" max="10853" width="14.109375" style="1" bestFit="1" customWidth="1"/>
    <col min="10854" max="10854" width="11.44140625" style="1" bestFit="1" customWidth="1"/>
    <col min="10855" max="11098" width="11.44140625" style="1" customWidth="1"/>
    <col min="11099" max="11099" width="9.44140625" style="1" customWidth="1"/>
    <col min="11100" max="11100" width="51.44140625" style="1"/>
    <col min="11101" max="11101" width="8.6640625" style="1" customWidth="1"/>
    <col min="11102" max="11102" width="50.6640625" style="1" customWidth="1"/>
    <col min="11103" max="11103" width="22.6640625" style="1" customWidth="1"/>
    <col min="11104" max="11104" width="7.6640625" style="1" customWidth="1"/>
    <col min="11105" max="11105" width="10.6640625" style="1" customWidth="1"/>
    <col min="11106" max="11106" width="16.44140625" style="1" customWidth="1"/>
    <col min="11107" max="11107" width="18.6640625" style="1" customWidth="1"/>
    <col min="11108" max="11108" width="11.44140625" style="1" bestFit="1" customWidth="1"/>
    <col min="11109" max="11109" width="14.109375" style="1" bestFit="1" customWidth="1"/>
    <col min="11110" max="11110" width="11.44140625" style="1" bestFit="1" customWidth="1"/>
    <col min="11111" max="11354" width="11.44140625" style="1" customWidth="1"/>
    <col min="11355" max="11355" width="9.44140625" style="1" customWidth="1"/>
    <col min="11356" max="11356" width="51.44140625" style="1"/>
    <col min="11357" max="11357" width="8.6640625" style="1" customWidth="1"/>
    <col min="11358" max="11358" width="50.6640625" style="1" customWidth="1"/>
    <col min="11359" max="11359" width="22.6640625" style="1" customWidth="1"/>
    <col min="11360" max="11360" width="7.6640625" style="1" customWidth="1"/>
    <col min="11361" max="11361" width="10.6640625" style="1" customWidth="1"/>
    <col min="11362" max="11362" width="16.44140625" style="1" customWidth="1"/>
    <col min="11363" max="11363" width="18.6640625" style="1" customWidth="1"/>
    <col min="11364" max="11364" width="11.44140625" style="1" bestFit="1" customWidth="1"/>
    <col min="11365" max="11365" width="14.109375" style="1" bestFit="1" customWidth="1"/>
    <col min="11366" max="11366" width="11.44140625" style="1" bestFit="1" customWidth="1"/>
    <col min="11367" max="11610" width="11.44140625" style="1" customWidth="1"/>
    <col min="11611" max="11611" width="9.44140625" style="1" customWidth="1"/>
    <col min="11612" max="11612" width="51.44140625" style="1"/>
    <col min="11613" max="11613" width="8.6640625" style="1" customWidth="1"/>
    <col min="11614" max="11614" width="50.6640625" style="1" customWidth="1"/>
    <col min="11615" max="11615" width="22.6640625" style="1" customWidth="1"/>
    <col min="11616" max="11616" width="7.6640625" style="1" customWidth="1"/>
    <col min="11617" max="11617" width="10.6640625" style="1" customWidth="1"/>
    <col min="11618" max="11618" width="16.44140625" style="1" customWidth="1"/>
    <col min="11619" max="11619" width="18.6640625" style="1" customWidth="1"/>
    <col min="11620" max="11620" width="11.44140625" style="1" bestFit="1" customWidth="1"/>
    <col min="11621" max="11621" width="14.109375" style="1" bestFit="1" customWidth="1"/>
    <col min="11622" max="11622" width="11.44140625" style="1" bestFit="1" customWidth="1"/>
    <col min="11623" max="11866" width="11.44140625" style="1" customWidth="1"/>
    <col min="11867" max="11867" width="9.44140625" style="1" customWidth="1"/>
    <col min="11868" max="11868" width="51.44140625" style="1"/>
    <col min="11869" max="11869" width="8.6640625" style="1" customWidth="1"/>
    <col min="11870" max="11870" width="50.6640625" style="1" customWidth="1"/>
    <col min="11871" max="11871" width="22.6640625" style="1" customWidth="1"/>
    <col min="11872" max="11872" width="7.6640625" style="1" customWidth="1"/>
    <col min="11873" max="11873" width="10.6640625" style="1" customWidth="1"/>
    <col min="11874" max="11874" width="16.44140625" style="1" customWidth="1"/>
    <col min="11875" max="11875" width="18.6640625" style="1" customWidth="1"/>
    <col min="11876" max="11876" width="11.44140625" style="1" bestFit="1" customWidth="1"/>
    <col min="11877" max="11877" width="14.109375" style="1" bestFit="1" customWidth="1"/>
    <col min="11878" max="11878" width="11.44140625" style="1" bestFit="1" customWidth="1"/>
    <col min="11879" max="12122" width="11.44140625" style="1" customWidth="1"/>
    <col min="12123" max="12123" width="9.44140625" style="1" customWidth="1"/>
    <col min="12124" max="12124" width="51.44140625" style="1"/>
    <col min="12125" max="12125" width="8.6640625" style="1" customWidth="1"/>
    <col min="12126" max="12126" width="50.6640625" style="1" customWidth="1"/>
    <col min="12127" max="12127" width="22.6640625" style="1" customWidth="1"/>
    <col min="12128" max="12128" width="7.6640625" style="1" customWidth="1"/>
    <col min="12129" max="12129" width="10.6640625" style="1" customWidth="1"/>
    <col min="12130" max="12130" width="16.44140625" style="1" customWidth="1"/>
    <col min="12131" max="12131" width="18.6640625" style="1" customWidth="1"/>
    <col min="12132" max="12132" width="11.44140625" style="1" bestFit="1" customWidth="1"/>
    <col min="12133" max="12133" width="14.109375" style="1" bestFit="1" customWidth="1"/>
    <col min="12134" max="12134" width="11.44140625" style="1" bestFit="1" customWidth="1"/>
    <col min="12135" max="12378" width="11.44140625" style="1" customWidth="1"/>
    <col min="12379" max="12379" width="9.44140625" style="1" customWidth="1"/>
    <col min="12380" max="12380" width="51.44140625" style="1"/>
    <col min="12381" max="12381" width="8.6640625" style="1" customWidth="1"/>
    <col min="12382" max="12382" width="50.6640625" style="1" customWidth="1"/>
    <col min="12383" max="12383" width="22.6640625" style="1" customWidth="1"/>
    <col min="12384" max="12384" width="7.6640625" style="1" customWidth="1"/>
    <col min="12385" max="12385" width="10.6640625" style="1" customWidth="1"/>
    <col min="12386" max="12386" width="16.44140625" style="1" customWidth="1"/>
    <col min="12387" max="12387" width="18.6640625" style="1" customWidth="1"/>
    <col min="12388" max="12388" width="11.44140625" style="1" bestFit="1" customWidth="1"/>
    <col min="12389" max="12389" width="14.109375" style="1" bestFit="1" customWidth="1"/>
    <col min="12390" max="12390" width="11.44140625" style="1" bestFit="1" customWidth="1"/>
    <col min="12391" max="12634" width="11.44140625" style="1" customWidth="1"/>
    <col min="12635" max="12635" width="9.44140625" style="1" customWidth="1"/>
    <col min="12636" max="12636" width="51.44140625" style="1"/>
    <col min="12637" max="12637" width="8.6640625" style="1" customWidth="1"/>
    <col min="12638" max="12638" width="50.6640625" style="1" customWidth="1"/>
    <col min="12639" max="12639" width="22.6640625" style="1" customWidth="1"/>
    <col min="12640" max="12640" width="7.6640625" style="1" customWidth="1"/>
    <col min="12641" max="12641" width="10.6640625" style="1" customWidth="1"/>
    <col min="12642" max="12642" width="16.44140625" style="1" customWidth="1"/>
    <col min="12643" max="12643" width="18.6640625" style="1" customWidth="1"/>
    <col min="12644" max="12644" width="11.44140625" style="1" bestFit="1" customWidth="1"/>
    <col min="12645" max="12645" width="14.109375" style="1" bestFit="1" customWidth="1"/>
    <col min="12646" max="12646" width="11.44140625" style="1" bestFit="1" customWidth="1"/>
    <col min="12647" max="12890" width="11.44140625" style="1" customWidth="1"/>
    <col min="12891" max="12891" width="9.44140625" style="1" customWidth="1"/>
    <col min="12892" max="12892" width="51.44140625" style="1"/>
    <col min="12893" max="12893" width="8.6640625" style="1" customWidth="1"/>
    <col min="12894" max="12894" width="50.6640625" style="1" customWidth="1"/>
    <col min="12895" max="12895" width="22.6640625" style="1" customWidth="1"/>
    <col min="12896" max="12896" width="7.6640625" style="1" customWidth="1"/>
    <col min="12897" max="12897" width="10.6640625" style="1" customWidth="1"/>
    <col min="12898" max="12898" width="16.44140625" style="1" customWidth="1"/>
    <col min="12899" max="12899" width="18.6640625" style="1" customWidth="1"/>
    <col min="12900" max="12900" width="11.44140625" style="1" bestFit="1" customWidth="1"/>
    <col min="12901" max="12901" width="14.109375" style="1" bestFit="1" customWidth="1"/>
    <col min="12902" max="12902" width="11.44140625" style="1" bestFit="1" customWidth="1"/>
    <col min="12903" max="13146" width="11.44140625" style="1" customWidth="1"/>
    <col min="13147" max="13147" width="9.44140625" style="1" customWidth="1"/>
    <col min="13148" max="13148" width="51.44140625" style="1"/>
    <col min="13149" max="13149" width="8.6640625" style="1" customWidth="1"/>
    <col min="13150" max="13150" width="50.6640625" style="1" customWidth="1"/>
    <col min="13151" max="13151" width="22.6640625" style="1" customWidth="1"/>
    <col min="13152" max="13152" width="7.6640625" style="1" customWidth="1"/>
    <col min="13153" max="13153" width="10.6640625" style="1" customWidth="1"/>
    <col min="13154" max="13154" width="16.44140625" style="1" customWidth="1"/>
    <col min="13155" max="13155" width="18.6640625" style="1" customWidth="1"/>
    <col min="13156" max="13156" width="11.44140625" style="1" bestFit="1" customWidth="1"/>
    <col min="13157" max="13157" width="14.109375" style="1" bestFit="1" customWidth="1"/>
    <col min="13158" max="13158" width="11.44140625" style="1" bestFit="1" customWidth="1"/>
    <col min="13159" max="13402" width="11.44140625" style="1" customWidth="1"/>
    <col min="13403" max="13403" width="9.44140625" style="1" customWidth="1"/>
    <col min="13404" max="13404" width="51.44140625" style="1"/>
    <col min="13405" max="13405" width="8.6640625" style="1" customWidth="1"/>
    <col min="13406" max="13406" width="50.6640625" style="1" customWidth="1"/>
    <col min="13407" max="13407" width="22.6640625" style="1" customWidth="1"/>
    <col min="13408" max="13408" width="7.6640625" style="1" customWidth="1"/>
    <col min="13409" max="13409" width="10.6640625" style="1" customWidth="1"/>
    <col min="13410" max="13410" width="16.44140625" style="1" customWidth="1"/>
    <col min="13411" max="13411" width="18.6640625" style="1" customWidth="1"/>
    <col min="13412" max="13412" width="11.44140625" style="1" bestFit="1" customWidth="1"/>
    <col min="13413" max="13413" width="14.109375" style="1" bestFit="1" customWidth="1"/>
    <col min="13414" max="13414" width="11.44140625" style="1" bestFit="1" customWidth="1"/>
    <col min="13415" max="13658" width="11.44140625" style="1" customWidth="1"/>
    <col min="13659" max="13659" width="9.44140625" style="1" customWidth="1"/>
    <col min="13660" max="13660" width="51.44140625" style="1"/>
    <col min="13661" max="13661" width="8.6640625" style="1" customWidth="1"/>
    <col min="13662" max="13662" width="50.6640625" style="1" customWidth="1"/>
    <col min="13663" max="13663" width="22.6640625" style="1" customWidth="1"/>
    <col min="13664" max="13664" width="7.6640625" style="1" customWidth="1"/>
    <col min="13665" max="13665" width="10.6640625" style="1" customWidth="1"/>
    <col min="13666" max="13666" width="16.44140625" style="1" customWidth="1"/>
    <col min="13667" max="13667" width="18.6640625" style="1" customWidth="1"/>
    <col min="13668" max="13668" width="11.44140625" style="1" bestFit="1" customWidth="1"/>
    <col min="13669" max="13669" width="14.109375" style="1" bestFit="1" customWidth="1"/>
    <col min="13670" max="13670" width="11.44140625" style="1" bestFit="1" customWidth="1"/>
    <col min="13671" max="13914" width="11.44140625" style="1" customWidth="1"/>
    <col min="13915" max="13915" width="9.44140625" style="1" customWidth="1"/>
    <col min="13916" max="13916" width="51.44140625" style="1"/>
    <col min="13917" max="13917" width="8.6640625" style="1" customWidth="1"/>
    <col min="13918" max="13918" width="50.6640625" style="1" customWidth="1"/>
    <col min="13919" max="13919" width="22.6640625" style="1" customWidth="1"/>
    <col min="13920" max="13920" width="7.6640625" style="1" customWidth="1"/>
    <col min="13921" max="13921" width="10.6640625" style="1" customWidth="1"/>
    <col min="13922" max="13922" width="16.44140625" style="1" customWidth="1"/>
    <col min="13923" max="13923" width="18.6640625" style="1" customWidth="1"/>
    <col min="13924" max="13924" width="11.44140625" style="1" bestFit="1" customWidth="1"/>
    <col min="13925" max="13925" width="14.109375" style="1" bestFit="1" customWidth="1"/>
    <col min="13926" max="13926" width="11.44140625" style="1" bestFit="1" customWidth="1"/>
    <col min="13927" max="14170" width="11.44140625" style="1" customWidth="1"/>
    <col min="14171" max="14171" width="9.44140625" style="1" customWidth="1"/>
    <col min="14172" max="14172" width="51.44140625" style="1"/>
    <col min="14173" max="14173" width="8.6640625" style="1" customWidth="1"/>
    <col min="14174" max="14174" width="50.6640625" style="1" customWidth="1"/>
    <col min="14175" max="14175" width="22.6640625" style="1" customWidth="1"/>
    <col min="14176" max="14176" width="7.6640625" style="1" customWidth="1"/>
    <col min="14177" max="14177" width="10.6640625" style="1" customWidth="1"/>
    <col min="14178" max="14178" width="16.44140625" style="1" customWidth="1"/>
    <col min="14179" max="14179" width="18.6640625" style="1" customWidth="1"/>
    <col min="14180" max="14180" width="11.44140625" style="1" bestFit="1" customWidth="1"/>
    <col min="14181" max="14181" width="14.109375" style="1" bestFit="1" customWidth="1"/>
    <col min="14182" max="14182" width="11.44140625" style="1" bestFit="1" customWidth="1"/>
    <col min="14183" max="14426" width="11.44140625" style="1" customWidth="1"/>
    <col min="14427" max="14427" width="9.44140625" style="1" customWidth="1"/>
    <col min="14428" max="14428" width="51.44140625" style="1"/>
    <col min="14429" max="14429" width="8.6640625" style="1" customWidth="1"/>
    <col min="14430" max="14430" width="50.6640625" style="1" customWidth="1"/>
    <col min="14431" max="14431" width="22.6640625" style="1" customWidth="1"/>
    <col min="14432" max="14432" width="7.6640625" style="1" customWidth="1"/>
    <col min="14433" max="14433" width="10.6640625" style="1" customWidth="1"/>
    <col min="14434" max="14434" width="16.44140625" style="1" customWidth="1"/>
    <col min="14435" max="14435" width="18.6640625" style="1" customWidth="1"/>
    <col min="14436" max="14436" width="11.44140625" style="1" bestFit="1" customWidth="1"/>
    <col min="14437" max="14437" width="14.109375" style="1" bestFit="1" customWidth="1"/>
    <col min="14438" max="14438" width="11.44140625" style="1" bestFit="1" customWidth="1"/>
    <col min="14439" max="14682" width="11.44140625" style="1" customWidth="1"/>
    <col min="14683" max="14683" width="9.44140625" style="1" customWidth="1"/>
    <col min="14684" max="14684" width="51.44140625" style="1"/>
    <col min="14685" max="14685" width="8.6640625" style="1" customWidth="1"/>
    <col min="14686" max="14686" width="50.6640625" style="1" customWidth="1"/>
    <col min="14687" max="14687" width="22.6640625" style="1" customWidth="1"/>
    <col min="14688" max="14688" width="7.6640625" style="1" customWidth="1"/>
    <col min="14689" max="14689" width="10.6640625" style="1" customWidth="1"/>
    <col min="14690" max="14690" width="16.44140625" style="1" customWidth="1"/>
    <col min="14691" max="14691" width="18.6640625" style="1" customWidth="1"/>
    <col min="14692" max="14692" width="11.44140625" style="1" bestFit="1" customWidth="1"/>
    <col min="14693" max="14693" width="14.109375" style="1" bestFit="1" customWidth="1"/>
    <col min="14694" max="14694" width="11.44140625" style="1" bestFit="1" customWidth="1"/>
    <col min="14695" max="14938" width="11.44140625" style="1" customWidth="1"/>
    <col min="14939" max="14939" width="9.44140625" style="1" customWidth="1"/>
    <col min="14940" max="14940" width="51.44140625" style="1"/>
    <col min="14941" max="14941" width="8.6640625" style="1" customWidth="1"/>
    <col min="14942" max="14942" width="50.6640625" style="1" customWidth="1"/>
    <col min="14943" max="14943" width="22.6640625" style="1" customWidth="1"/>
    <col min="14944" max="14944" width="7.6640625" style="1" customWidth="1"/>
    <col min="14945" max="14945" width="10.6640625" style="1" customWidth="1"/>
    <col min="14946" max="14946" width="16.44140625" style="1" customWidth="1"/>
    <col min="14947" max="14947" width="18.6640625" style="1" customWidth="1"/>
    <col min="14948" max="14948" width="11.44140625" style="1" bestFit="1" customWidth="1"/>
    <col min="14949" max="14949" width="14.109375" style="1" bestFit="1" customWidth="1"/>
    <col min="14950" max="14950" width="11.44140625" style="1" bestFit="1" customWidth="1"/>
    <col min="14951" max="15194" width="11.44140625" style="1" customWidth="1"/>
    <col min="15195" max="15195" width="9.44140625" style="1" customWidth="1"/>
    <col min="15196" max="15196" width="51.44140625" style="1"/>
    <col min="15197" max="15197" width="8.6640625" style="1" customWidth="1"/>
    <col min="15198" max="15198" width="50.6640625" style="1" customWidth="1"/>
    <col min="15199" max="15199" width="22.6640625" style="1" customWidth="1"/>
    <col min="15200" max="15200" width="7.6640625" style="1" customWidth="1"/>
    <col min="15201" max="15201" width="10.6640625" style="1" customWidth="1"/>
    <col min="15202" max="15202" width="16.44140625" style="1" customWidth="1"/>
    <col min="15203" max="15203" width="18.6640625" style="1" customWidth="1"/>
    <col min="15204" max="15204" width="11.44140625" style="1" bestFit="1" customWidth="1"/>
    <col min="15205" max="15205" width="14.109375" style="1" bestFit="1" customWidth="1"/>
    <col min="15206" max="15206" width="11.44140625" style="1" bestFit="1" customWidth="1"/>
    <col min="15207" max="15450" width="11.44140625" style="1" customWidth="1"/>
    <col min="15451" max="15451" width="9.44140625" style="1" customWidth="1"/>
    <col min="15452" max="15452" width="51.44140625" style="1"/>
    <col min="15453" max="15453" width="8.6640625" style="1" customWidth="1"/>
    <col min="15454" max="15454" width="50.6640625" style="1" customWidth="1"/>
    <col min="15455" max="15455" width="22.6640625" style="1" customWidth="1"/>
    <col min="15456" max="15456" width="7.6640625" style="1" customWidth="1"/>
    <col min="15457" max="15457" width="10.6640625" style="1" customWidth="1"/>
    <col min="15458" max="15458" width="16.44140625" style="1" customWidth="1"/>
    <col min="15459" max="15459" width="18.6640625" style="1" customWidth="1"/>
    <col min="15460" max="15460" width="11.44140625" style="1" bestFit="1" customWidth="1"/>
    <col min="15461" max="15461" width="14.109375" style="1" bestFit="1" customWidth="1"/>
    <col min="15462" max="15462" width="11.44140625" style="1" bestFit="1" customWidth="1"/>
    <col min="15463" max="15706" width="11.44140625" style="1" customWidth="1"/>
    <col min="15707" max="15707" width="9.44140625" style="1" customWidth="1"/>
    <col min="15708" max="15708" width="51.44140625" style="1"/>
    <col min="15709" max="15709" width="8.6640625" style="1" customWidth="1"/>
    <col min="15710" max="15710" width="50.6640625" style="1" customWidth="1"/>
    <col min="15711" max="15711" width="22.6640625" style="1" customWidth="1"/>
    <col min="15712" max="15712" width="7.6640625" style="1" customWidth="1"/>
    <col min="15713" max="15713" width="10.6640625" style="1" customWidth="1"/>
    <col min="15714" max="15714" width="16.44140625" style="1" customWidth="1"/>
    <col min="15715" max="15715" width="18.6640625" style="1" customWidth="1"/>
    <col min="15716" max="15716" width="11.44140625" style="1" bestFit="1" customWidth="1"/>
    <col min="15717" max="15717" width="14.109375" style="1" bestFit="1" customWidth="1"/>
    <col min="15718" max="15718" width="11.44140625" style="1" bestFit="1" customWidth="1"/>
    <col min="15719" max="15962" width="11.44140625" style="1" customWidth="1"/>
    <col min="15963" max="15963" width="9.44140625" style="1" customWidth="1"/>
    <col min="15964" max="15964" width="51.44140625" style="1"/>
    <col min="15965" max="15965" width="8.6640625" style="1" customWidth="1"/>
    <col min="15966" max="15966" width="50.6640625" style="1" customWidth="1"/>
    <col min="15967" max="15967" width="22.6640625" style="1" customWidth="1"/>
    <col min="15968" max="15968" width="7.6640625" style="1" customWidth="1"/>
    <col min="15969" max="15969" width="10.6640625" style="1" customWidth="1"/>
    <col min="15970" max="15970" width="16.44140625" style="1" customWidth="1"/>
    <col min="15971" max="15971" width="18.6640625" style="1" customWidth="1"/>
    <col min="15972" max="15972" width="11.44140625" style="1" bestFit="1" customWidth="1"/>
    <col min="15973" max="15973" width="14.109375" style="1" bestFit="1" customWidth="1"/>
    <col min="15974" max="15974" width="11.44140625" style="1" bestFit="1" customWidth="1"/>
    <col min="15975" max="16218" width="11.44140625" style="1" customWidth="1"/>
    <col min="16219" max="16219" width="9.44140625" style="1" customWidth="1"/>
    <col min="16220" max="16384" width="51.44140625" style="1"/>
  </cols>
  <sheetData>
    <row r="7" spans="1:15" ht="14.25" customHeight="1" x14ac:dyDescent="0.25">
      <c r="A7" s="342"/>
      <c r="B7" s="342"/>
      <c r="C7" s="342"/>
      <c r="D7" s="342"/>
      <c r="E7" s="342"/>
      <c r="F7" s="342"/>
    </row>
    <row r="8" spans="1:15" ht="14.25" customHeight="1" x14ac:dyDescent="0.25">
      <c r="A8" s="27"/>
      <c r="B8" s="27"/>
      <c r="C8" s="77"/>
      <c r="D8" s="27"/>
      <c r="E8" s="148"/>
      <c r="F8" s="77"/>
    </row>
    <row r="10" spans="1:15" ht="12.6" thickBot="1" x14ac:dyDescent="0.3">
      <c r="A10" s="371"/>
      <c r="B10" s="371"/>
      <c r="C10" s="371"/>
      <c r="D10" s="371"/>
      <c r="E10" s="371"/>
    </row>
    <row r="11" spans="1:15" ht="13.5" customHeight="1" thickBot="1" x14ac:dyDescent="0.3">
      <c r="C11" s="370" t="s">
        <v>950</v>
      </c>
      <c r="D11" s="370"/>
      <c r="E11" s="370"/>
      <c r="F11" s="375"/>
      <c r="G11" s="372" t="s">
        <v>944</v>
      </c>
      <c r="H11" s="373"/>
      <c r="I11" s="373"/>
      <c r="J11" s="374"/>
    </row>
    <row r="12" spans="1:15" ht="28.2" thickBot="1" x14ac:dyDescent="0.3">
      <c r="A12" s="75" t="s">
        <v>0</v>
      </c>
      <c r="B12" s="76" t="s">
        <v>1</v>
      </c>
      <c r="C12" s="299" t="s">
        <v>941</v>
      </c>
      <c r="D12" s="300" t="s">
        <v>945</v>
      </c>
      <c r="E12" s="300" t="s">
        <v>946</v>
      </c>
      <c r="F12" s="301" t="s">
        <v>947</v>
      </c>
      <c r="G12" s="299" t="s">
        <v>942</v>
      </c>
      <c r="H12" s="300" t="s">
        <v>948</v>
      </c>
      <c r="I12" s="300" t="s">
        <v>946</v>
      </c>
      <c r="J12" s="301" t="s">
        <v>947</v>
      </c>
    </row>
    <row r="13" spans="1:15" ht="13.8" x14ac:dyDescent="0.3">
      <c r="A13" s="279" t="s">
        <v>3</v>
      </c>
      <c r="B13" s="280" t="s">
        <v>77</v>
      </c>
      <c r="C13" s="307">
        <f>+BDQ!C258</f>
        <v>115000000</v>
      </c>
      <c r="D13" s="292">
        <f>+C13/L13</f>
        <v>167638.48396501457</v>
      </c>
      <c r="E13" s="292">
        <f>+C13/M13</f>
        <v>224609.375</v>
      </c>
      <c r="F13" s="293">
        <f>+C13/N13</f>
        <v>277108.43373493978</v>
      </c>
      <c r="G13" s="257">
        <f>+C13/K13</f>
        <v>24468.08510638298</v>
      </c>
      <c r="H13" s="292">
        <f>+G13/L13</f>
        <v>35.667762545747784</v>
      </c>
      <c r="I13" s="292">
        <f>+G13/M13</f>
        <v>47.789228723404257</v>
      </c>
      <c r="J13" s="293">
        <f>+G13/N13</f>
        <v>58.959241220199949</v>
      </c>
      <c r="K13" s="1">
        <v>4700</v>
      </c>
      <c r="L13" s="256">
        <v>686</v>
      </c>
      <c r="M13" s="256">
        <v>512</v>
      </c>
      <c r="N13" s="256">
        <v>415</v>
      </c>
      <c r="O13" s="84">
        <v>115000000</v>
      </c>
    </row>
    <row r="14" spans="1:15" ht="13.8" x14ac:dyDescent="0.3">
      <c r="A14" s="282" t="s">
        <v>4</v>
      </c>
      <c r="B14" s="283" t="s">
        <v>154</v>
      </c>
      <c r="C14" s="308">
        <f>+BDQ!C259</f>
        <v>61399300</v>
      </c>
      <c r="D14" s="295">
        <f t="shared" ref="D14:D32" si="0">+C14/L14</f>
        <v>89503.352769679303</v>
      </c>
      <c r="E14" s="295">
        <f t="shared" ref="E14:E32" si="1">+C14/M14</f>
        <v>119920.5078125</v>
      </c>
      <c r="F14" s="296">
        <f t="shared" ref="F14:F32" si="2">+C14/N14</f>
        <v>147950.1204819277</v>
      </c>
      <c r="G14" s="258">
        <f t="shared" ref="G14:G31" si="3">+C14/K14</f>
        <v>13063.680851063829</v>
      </c>
      <c r="H14" s="295">
        <f t="shared" ref="H14:H32" si="4">+G14/L14</f>
        <v>19.043266546740277</v>
      </c>
      <c r="I14" s="295">
        <f t="shared" ref="I14:I32" si="5">+G14/M14</f>
        <v>25.515001662234042</v>
      </c>
      <c r="J14" s="296">
        <f t="shared" ref="J14:J32" si="6">+G14/N14</f>
        <v>31.478749038708024</v>
      </c>
      <c r="K14" s="1">
        <v>4700</v>
      </c>
      <c r="L14" s="256">
        <v>686</v>
      </c>
      <c r="M14" s="256">
        <v>512</v>
      </c>
      <c r="N14" s="256">
        <v>415</v>
      </c>
      <c r="O14" s="84">
        <v>61399300</v>
      </c>
    </row>
    <row r="15" spans="1:15" ht="13.8" x14ac:dyDescent="0.3">
      <c r="A15" s="282" t="s">
        <v>16</v>
      </c>
      <c r="B15" s="283" t="s">
        <v>73</v>
      </c>
      <c r="C15" s="308">
        <f>+BDQ!C260</f>
        <v>8352694.5847999975</v>
      </c>
      <c r="D15" s="295">
        <f t="shared" si="0"/>
        <v>12175.939627988335</v>
      </c>
      <c r="E15" s="295">
        <f t="shared" si="1"/>
        <v>16313.856610937495</v>
      </c>
      <c r="F15" s="296">
        <f t="shared" si="2"/>
        <v>20126.974903132523</v>
      </c>
      <c r="G15" s="258">
        <f t="shared" si="3"/>
        <v>1777.1690605957442</v>
      </c>
      <c r="H15" s="295">
        <f t="shared" si="4"/>
        <v>2.5906254527634753</v>
      </c>
      <c r="I15" s="295">
        <f t="shared" si="5"/>
        <v>3.4710333214760629</v>
      </c>
      <c r="J15" s="296">
        <f t="shared" si="6"/>
        <v>4.2823350857728775</v>
      </c>
      <c r="K15" s="1">
        <v>4700</v>
      </c>
      <c r="L15" s="256">
        <v>686</v>
      </c>
      <c r="M15" s="256">
        <v>512</v>
      </c>
      <c r="N15" s="256">
        <v>415</v>
      </c>
      <c r="O15" s="84">
        <v>8352694.5847999975</v>
      </c>
    </row>
    <row r="16" spans="1:15" ht="13.8" x14ac:dyDescent="0.3">
      <c r="A16" s="282" t="s">
        <v>13</v>
      </c>
      <c r="B16" s="283" t="s">
        <v>15</v>
      </c>
      <c r="C16" s="308">
        <f>+BDQ!C261</f>
        <v>122955081.01249999</v>
      </c>
      <c r="D16" s="295">
        <f t="shared" si="0"/>
        <v>179234.81197157432</v>
      </c>
      <c r="E16" s="295">
        <f t="shared" si="1"/>
        <v>240146.64260253904</v>
      </c>
      <c r="F16" s="296">
        <f t="shared" si="2"/>
        <v>296277.30364457826</v>
      </c>
      <c r="G16" s="258">
        <f t="shared" si="3"/>
        <v>26160.655534574467</v>
      </c>
      <c r="H16" s="295">
        <f t="shared" si="4"/>
        <v>38.135066376930709</v>
      </c>
      <c r="I16" s="295">
        <f t="shared" si="5"/>
        <v>51.095030340965756</v>
      </c>
      <c r="J16" s="296">
        <f t="shared" si="6"/>
        <v>63.037724179697513</v>
      </c>
      <c r="K16" s="1">
        <v>4700</v>
      </c>
      <c r="L16" s="256">
        <v>686</v>
      </c>
      <c r="M16" s="256">
        <v>512</v>
      </c>
      <c r="N16" s="256">
        <v>415</v>
      </c>
      <c r="O16" s="84">
        <v>122955081.01249999</v>
      </c>
    </row>
    <row r="17" spans="1:15" ht="13.8" x14ac:dyDescent="0.3">
      <c r="A17" s="282" t="s">
        <v>35</v>
      </c>
      <c r="B17" s="283" t="s">
        <v>20</v>
      </c>
      <c r="C17" s="308">
        <f>+BDQ!C262</f>
        <v>592130553.25500011</v>
      </c>
      <c r="D17" s="295">
        <f t="shared" si="0"/>
        <v>863164.07180029165</v>
      </c>
      <c r="E17" s="295">
        <f t="shared" si="1"/>
        <v>1156504.9868261721</v>
      </c>
      <c r="F17" s="296">
        <f t="shared" si="2"/>
        <v>1426820.6102530123</v>
      </c>
      <c r="G17" s="258">
        <f>+C17/G21</f>
        <v>14388.401389496075</v>
      </c>
      <c r="H17" s="295">
        <f t="shared" si="4"/>
        <v>20.974346048828099</v>
      </c>
      <c r="I17" s="295">
        <f t="shared" si="5"/>
        <v>28.102346463859522</v>
      </c>
      <c r="J17" s="296">
        <f t="shared" si="6"/>
        <v>34.670846721677293</v>
      </c>
      <c r="K17" s="1">
        <v>4700</v>
      </c>
      <c r="L17" s="256">
        <v>686</v>
      </c>
      <c r="M17" s="256">
        <v>512</v>
      </c>
      <c r="N17" s="256">
        <v>415</v>
      </c>
      <c r="O17" s="84">
        <v>592130553.25500011</v>
      </c>
    </row>
    <row r="18" spans="1:15" ht="13.8" x14ac:dyDescent="0.3">
      <c r="A18" s="282" t="s">
        <v>9</v>
      </c>
      <c r="B18" s="283" t="s">
        <v>78</v>
      </c>
      <c r="C18" s="308">
        <f>+BDQ!C263</f>
        <v>67838629.25</v>
      </c>
      <c r="D18" s="295">
        <f t="shared" si="0"/>
        <v>98890.130102040814</v>
      </c>
      <c r="E18" s="295">
        <f t="shared" si="1"/>
        <v>132497.32275390625</v>
      </c>
      <c r="F18" s="296">
        <f t="shared" si="2"/>
        <v>163466.57650602411</v>
      </c>
      <c r="G18" s="258">
        <f t="shared" si="3"/>
        <v>14433.750904255319</v>
      </c>
      <c r="H18" s="295">
        <f t="shared" si="4"/>
        <v>21.040453213200173</v>
      </c>
      <c r="I18" s="295">
        <f t="shared" si="5"/>
        <v>28.19091973487367</v>
      </c>
      <c r="J18" s="296">
        <f t="shared" si="6"/>
        <v>34.780122660856193</v>
      </c>
      <c r="K18" s="1">
        <v>4700</v>
      </c>
      <c r="L18" s="256">
        <v>686</v>
      </c>
      <c r="M18" s="256">
        <v>512</v>
      </c>
      <c r="N18" s="256">
        <v>415</v>
      </c>
      <c r="O18" s="84">
        <v>67838629.25</v>
      </c>
    </row>
    <row r="19" spans="1:15" ht="13.8" x14ac:dyDescent="0.3">
      <c r="A19" s="282" t="s">
        <v>34</v>
      </c>
      <c r="B19" s="283" t="s">
        <v>17</v>
      </c>
      <c r="C19" s="308">
        <f>+BDQ!C264</f>
        <v>26763500</v>
      </c>
      <c r="D19" s="295">
        <f t="shared" si="0"/>
        <v>39013.84839650146</v>
      </c>
      <c r="E19" s="295">
        <f t="shared" si="1"/>
        <v>52272.4609375</v>
      </c>
      <c r="F19" s="296">
        <f t="shared" si="2"/>
        <v>64490.361445783135</v>
      </c>
      <c r="G19" s="258">
        <f t="shared" si="3"/>
        <v>5694.3617021276596</v>
      </c>
      <c r="H19" s="295">
        <f t="shared" si="4"/>
        <v>8.3008188077662677</v>
      </c>
      <c r="I19" s="295">
        <f t="shared" si="5"/>
        <v>11.121800199468085</v>
      </c>
      <c r="J19" s="296">
        <f t="shared" si="6"/>
        <v>13.721353499102793</v>
      </c>
      <c r="K19" s="1">
        <v>4700</v>
      </c>
      <c r="L19" s="256">
        <v>686</v>
      </c>
      <c r="M19" s="256">
        <v>512</v>
      </c>
      <c r="N19" s="256">
        <v>415</v>
      </c>
      <c r="O19" s="84">
        <v>26763500</v>
      </c>
    </row>
    <row r="20" spans="1:15" ht="13.8" x14ac:dyDescent="0.3">
      <c r="A20" s="282" t="s">
        <v>26</v>
      </c>
      <c r="B20" s="283" t="s">
        <v>33</v>
      </c>
      <c r="C20" s="309">
        <f>+BDQ!C265</f>
        <v>88057342.327499986</v>
      </c>
      <c r="D20" s="295">
        <f t="shared" si="0"/>
        <v>128363.47278061222</v>
      </c>
      <c r="E20" s="295">
        <f t="shared" si="1"/>
        <v>171986.99673339841</v>
      </c>
      <c r="F20" s="296">
        <f t="shared" si="2"/>
        <v>212186.36705421683</v>
      </c>
      <c r="G20" s="258">
        <f t="shared" si="3"/>
        <v>18735.604750531911</v>
      </c>
      <c r="H20" s="295">
        <f t="shared" si="4"/>
        <v>27.3113771873643</v>
      </c>
      <c r="I20" s="295">
        <f t="shared" si="5"/>
        <v>36.592978028382639</v>
      </c>
      <c r="J20" s="296">
        <f t="shared" si="6"/>
        <v>45.146035543450388</v>
      </c>
      <c r="K20" s="1">
        <v>4700</v>
      </c>
      <c r="L20" s="256">
        <v>686</v>
      </c>
      <c r="M20" s="256">
        <v>512</v>
      </c>
      <c r="N20" s="256">
        <v>415</v>
      </c>
      <c r="O20" s="84">
        <v>88057342.327499986</v>
      </c>
    </row>
    <row r="21" spans="1:15" ht="13.8" x14ac:dyDescent="0.3">
      <c r="A21" s="282" t="s">
        <v>38</v>
      </c>
      <c r="B21" s="283" t="s">
        <v>282</v>
      </c>
      <c r="C21" s="309">
        <f>+BDQ!C266</f>
        <v>193420625.75</v>
      </c>
      <c r="D21" s="295">
        <f t="shared" si="0"/>
        <v>281954.26494169096</v>
      </c>
      <c r="E21" s="295">
        <f t="shared" si="1"/>
        <v>377774.65966796875</v>
      </c>
      <c r="F21" s="296">
        <f t="shared" si="2"/>
        <v>466073.79698795179</v>
      </c>
      <c r="G21" s="258">
        <f t="shared" si="3"/>
        <v>41153.324627659575</v>
      </c>
      <c r="H21" s="295">
        <f t="shared" si="4"/>
        <v>59.990269136529989</v>
      </c>
      <c r="I21" s="295">
        <f t="shared" si="5"/>
        <v>80.377587163397607</v>
      </c>
      <c r="J21" s="296">
        <f t="shared" si="6"/>
        <v>99.164637657011028</v>
      </c>
      <c r="K21" s="1">
        <v>4700</v>
      </c>
      <c r="L21" s="256">
        <v>686</v>
      </c>
      <c r="M21" s="256">
        <v>512</v>
      </c>
      <c r="N21" s="256">
        <v>415</v>
      </c>
      <c r="O21" s="84">
        <v>193420625.75</v>
      </c>
    </row>
    <row r="22" spans="1:15" ht="13.8" x14ac:dyDescent="0.3">
      <c r="A22" s="285" t="s">
        <v>27</v>
      </c>
      <c r="B22" s="286" t="s">
        <v>955</v>
      </c>
      <c r="C22" s="309">
        <f>+BDQ!C267</f>
        <v>49684192.399999999</v>
      </c>
      <c r="D22" s="295">
        <f t="shared" si="0"/>
        <v>72425.93644314869</v>
      </c>
      <c r="E22" s="295">
        <f t="shared" si="1"/>
        <v>97039.438281249997</v>
      </c>
      <c r="F22" s="296">
        <f t="shared" si="2"/>
        <v>119720.94554216867</v>
      </c>
      <c r="G22" s="258">
        <f t="shared" si="3"/>
        <v>10571.104765957447</v>
      </c>
      <c r="H22" s="295">
        <f t="shared" si="4"/>
        <v>15.409773711308231</v>
      </c>
      <c r="I22" s="295">
        <f t="shared" si="5"/>
        <v>20.646688996010639</v>
      </c>
      <c r="J22" s="296">
        <f t="shared" si="6"/>
        <v>25.472541604716739</v>
      </c>
      <c r="K22" s="1">
        <v>4700</v>
      </c>
      <c r="L22" s="256">
        <v>686</v>
      </c>
      <c r="M22" s="256">
        <v>512</v>
      </c>
      <c r="N22" s="256">
        <v>415</v>
      </c>
      <c r="O22" s="84">
        <v>49684192.399999999</v>
      </c>
    </row>
    <row r="23" spans="1:15" ht="13.8" x14ac:dyDescent="0.3">
      <c r="A23" s="285" t="s">
        <v>28</v>
      </c>
      <c r="B23" s="283" t="s">
        <v>40</v>
      </c>
      <c r="C23" s="309">
        <f>+BDQ!C268</f>
        <v>68859362.5</v>
      </c>
      <c r="D23" s="295">
        <f t="shared" si="0"/>
        <v>100378.07944606413</v>
      </c>
      <c r="E23" s="295">
        <f t="shared" si="1"/>
        <v>134490.9423828125</v>
      </c>
      <c r="F23" s="296">
        <f t="shared" si="2"/>
        <v>165926.17469879519</v>
      </c>
      <c r="G23" s="258">
        <f t="shared" si="3"/>
        <v>14650.928191489362</v>
      </c>
      <c r="H23" s="295">
        <f t="shared" si="4"/>
        <v>21.357038180013646</v>
      </c>
      <c r="I23" s="295">
        <f t="shared" si="5"/>
        <v>28.61509412400266</v>
      </c>
      <c r="J23" s="296">
        <f t="shared" si="6"/>
        <v>35.303441425275572</v>
      </c>
      <c r="K23" s="1">
        <v>4700</v>
      </c>
      <c r="L23" s="256">
        <v>686</v>
      </c>
      <c r="M23" s="256">
        <v>512</v>
      </c>
      <c r="N23" s="256">
        <v>415</v>
      </c>
      <c r="O23" s="84">
        <v>68859362.5</v>
      </c>
    </row>
    <row r="24" spans="1:15" ht="13.8" x14ac:dyDescent="0.3">
      <c r="A24" s="282" t="s">
        <v>31</v>
      </c>
      <c r="B24" s="283" t="s">
        <v>80</v>
      </c>
      <c r="C24" s="309">
        <f>+BDQ!C269</f>
        <v>494887257.98000002</v>
      </c>
      <c r="D24" s="295">
        <f t="shared" si="0"/>
        <v>721409.99705539364</v>
      </c>
      <c r="E24" s="295">
        <f t="shared" si="1"/>
        <v>966576.67574218754</v>
      </c>
      <c r="F24" s="296">
        <f t="shared" si="2"/>
        <v>1192499.4168192772</v>
      </c>
      <c r="G24" s="258">
        <f t="shared" si="3"/>
        <v>105295.16127234043</v>
      </c>
      <c r="H24" s="295">
        <f t="shared" si="4"/>
        <v>153.49148873519013</v>
      </c>
      <c r="I24" s="295">
        <f t="shared" si="5"/>
        <v>205.65461186003989</v>
      </c>
      <c r="J24" s="296">
        <f t="shared" si="6"/>
        <v>253.72328017431428</v>
      </c>
      <c r="K24" s="1">
        <v>4700</v>
      </c>
      <c r="L24" s="256">
        <v>686</v>
      </c>
      <c r="M24" s="256">
        <v>512</v>
      </c>
      <c r="N24" s="256">
        <v>415</v>
      </c>
      <c r="O24" s="84">
        <v>494887257.98000002</v>
      </c>
    </row>
    <row r="25" spans="1:15" ht="13.8" x14ac:dyDescent="0.3">
      <c r="A25" s="282" t="s">
        <v>81</v>
      </c>
      <c r="B25" s="283" t="s">
        <v>79</v>
      </c>
      <c r="C25" s="309">
        <f>+BDQ!C270</f>
        <v>108558000</v>
      </c>
      <c r="D25" s="295">
        <f t="shared" si="0"/>
        <v>158247.81341107871</v>
      </c>
      <c r="E25" s="295">
        <f t="shared" si="1"/>
        <v>212027.34375</v>
      </c>
      <c r="F25" s="296">
        <f t="shared" si="2"/>
        <v>261585.5421686747</v>
      </c>
      <c r="G25" s="258">
        <f t="shared" si="3"/>
        <v>23097.446808510638</v>
      </c>
      <c r="H25" s="295">
        <f t="shared" si="4"/>
        <v>33.669747534272069</v>
      </c>
      <c r="I25" s="295">
        <f t="shared" si="5"/>
        <v>45.11220079787234</v>
      </c>
      <c r="J25" s="296">
        <f t="shared" si="6"/>
        <v>55.656498333760574</v>
      </c>
      <c r="K25" s="1">
        <v>4700</v>
      </c>
      <c r="L25" s="256">
        <v>686</v>
      </c>
      <c r="M25" s="256">
        <v>512</v>
      </c>
      <c r="N25" s="256">
        <v>415</v>
      </c>
      <c r="O25" s="84">
        <v>108558000</v>
      </c>
    </row>
    <row r="26" spans="1:15" ht="13.8" x14ac:dyDescent="0.3">
      <c r="A26" s="282" t="s">
        <v>82</v>
      </c>
      <c r="B26" s="283" t="s">
        <v>39</v>
      </c>
      <c r="C26" s="309">
        <f>+BDQ!C271</f>
        <v>183275610</v>
      </c>
      <c r="D26" s="295">
        <f t="shared" si="0"/>
        <v>267165.61224489799</v>
      </c>
      <c r="E26" s="295">
        <f t="shared" si="1"/>
        <v>357960.17578125</v>
      </c>
      <c r="F26" s="296">
        <f t="shared" si="2"/>
        <v>441627.97590361448</v>
      </c>
      <c r="G26" s="258">
        <f t="shared" si="3"/>
        <v>38994.810638297873</v>
      </c>
      <c r="H26" s="295">
        <f t="shared" si="4"/>
        <v>56.843747286148506</v>
      </c>
      <c r="I26" s="295">
        <f t="shared" si="5"/>
        <v>76.161739527925533</v>
      </c>
      <c r="J26" s="296">
        <f t="shared" si="6"/>
        <v>93.963399128428605</v>
      </c>
      <c r="K26" s="1">
        <v>4700</v>
      </c>
      <c r="L26" s="256">
        <v>686</v>
      </c>
      <c r="M26" s="256">
        <v>512</v>
      </c>
      <c r="N26" s="256">
        <v>415</v>
      </c>
      <c r="O26" s="84">
        <v>183275610</v>
      </c>
    </row>
    <row r="27" spans="1:15" ht="13.8" x14ac:dyDescent="0.3">
      <c r="A27" s="282" t="s">
        <v>83</v>
      </c>
      <c r="B27" s="283" t="s">
        <v>672</v>
      </c>
      <c r="C27" s="309">
        <f>+BDQ!C272</f>
        <v>26250000</v>
      </c>
      <c r="D27" s="295">
        <f t="shared" si="0"/>
        <v>38265.306122448979</v>
      </c>
      <c r="E27" s="295">
        <f t="shared" si="1"/>
        <v>51269.53125</v>
      </c>
      <c r="F27" s="296">
        <f t="shared" si="2"/>
        <v>63253.012048192773</v>
      </c>
      <c r="G27" s="258">
        <f t="shared" si="3"/>
        <v>5585.1063829787236</v>
      </c>
      <c r="H27" s="295">
        <f t="shared" si="4"/>
        <v>8.1415544941380809</v>
      </c>
      <c r="I27" s="295">
        <f t="shared" si="5"/>
        <v>10.908410904255319</v>
      </c>
      <c r="J27" s="296">
        <f t="shared" si="6"/>
        <v>13.458087669828249</v>
      </c>
      <c r="K27" s="1">
        <v>4700</v>
      </c>
      <c r="L27" s="256">
        <v>686</v>
      </c>
      <c r="M27" s="256">
        <v>512</v>
      </c>
      <c r="N27" s="256">
        <v>415</v>
      </c>
      <c r="O27" s="84">
        <v>26250000</v>
      </c>
    </row>
    <row r="28" spans="1:15" ht="13.8" x14ac:dyDescent="0.3">
      <c r="A28" s="282" t="s">
        <v>91</v>
      </c>
      <c r="B28" s="283" t="s">
        <v>29</v>
      </c>
      <c r="C28" s="309">
        <f>+BDQ!C273</f>
        <v>56985254</v>
      </c>
      <c r="D28" s="295">
        <f>+C28/L28</f>
        <v>83068.883381924199</v>
      </c>
      <c r="E28" s="295">
        <f>+C28/M28</f>
        <v>111299.32421875</v>
      </c>
      <c r="F28" s="296">
        <f>+C28/N28</f>
        <v>137313.86506024096</v>
      </c>
      <c r="G28" s="258">
        <f>+C28/K28</f>
        <v>12124.522127659575</v>
      </c>
      <c r="H28" s="295">
        <f>+G28/L28</f>
        <v>17.674230506792384</v>
      </c>
      <c r="I28" s="295">
        <f>+G28/M28</f>
        <v>23.680707280585107</v>
      </c>
      <c r="J28" s="296">
        <f>+G28/N28</f>
        <v>29.215715970264036</v>
      </c>
      <c r="K28" s="1">
        <v>4700</v>
      </c>
      <c r="L28" s="256">
        <v>686</v>
      </c>
      <c r="M28" s="256">
        <v>512</v>
      </c>
      <c r="N28" s="256">
        <v>415</v>
      </c>
      <c r="O28" s="84">
        <v>56985254</v>
      </c>
    </row>
    <row r="29" spans="1:15" ht="13.8" x14ac:dyDescent="0.3">
      <c r="A29" s="282" t="s">
        <v>640</v>
      </c>
      <c r="B29" s="283" t="s">
        <v>954</v>
      </c>
      <c r="C29" s="309">
        <f>+BDQ!C274</f>
        <v>58906936</v>
      </c>
      <c r="D29" s="295">
        <f>+C29/L29</f>
        <v>85870.169096209909</v>
      </c>
      <c r="E29" s="295">
        <f>+C29/M29</f>
        <v>115052.609375</v>
      </c>
      <c r="F29" s="296">
        <f>+C29/N29</f>
        <v>141944.42409638554</v>
      </c>
      <c r="G29" s="258">
        <f>+C29/K29</f>
        <v>12533.390638297873</v>
      </c>
      <c r="H29" s="295">
        <f>+G29/L29</f>
        <v>18.270248743874451</v>
      </c>
      <c r="I29" s="295">
        <f>+G29/M29</f>
        <v>24.479278590425533</v>
      </c>
      <c r="J29" s="296">
        <f>+G29/N29</f>
        <v>30.200941297103309</v>
      </c>
      <c r="K29" s="1">
        <v>4700</v>
      </c>
      <c r="L29" s="256">
        <v>686</v>
      </c>
      <c r="M29" s="256">
        <v>512</v>
      </c>
      <c r="N29" s="256">
        <v>415</v>
      </c>
      <c r="O29" s="84">
        <v>58906936</v>
      </c>
    </row>
    <row r="30" spans="1:15" ht="13.8" x14ac:dyDescent="0.3">
      <c r="A30" s="282" t="s">
        <v>880</v>
      </c>
      <c r="B30" s="283" t="s">
        <v>879</v>
      </c>
      <c r="C30" s="309">
        <f>+BDQ!C275</f>
        <v>211500000</v>
      </c>
      <c r="D30" s="295">
        <f t="shared" si="0"/>
        <v>308309.03790087462</v>
      </c>
      <c r="E30" s="295">
        <f t="shared" si="1"/>
        <v>413085.9375</v>
      </c>
      <c r="F30" s="296">
        <f t="shared" si="2"/>
        <v>509638.55421686749</v>
      </c>
      <c r="G30" s="258">
        <f t="shared" si="3"/>
        <v>45000</v>
      </c>
      <c r="H30" s="295">
        <f t="shared" si="4"/>
        <v>65.597667638483969</v>
      </c>
      <c r="I30" s="295">
        <f t="shared" si="5"/>
        <v>87.890625</v>
      </c>
      <c r="J30" s="296">
        <f t="shared" si="6"/>
        <v>108.43373493975903</v>
      </c>
      <c r="K30" s="1">
        <v>4700</v>
      </c>
      <c r="L30" s="256">
        <v>686</v>
      </c>
      <c r="M30" s="256">
        <v>512</v>
      </c>
      <c r="N30" s="256">
        <v>415</v>
      </c>
      <c r="O30" s="84">
        <v>211500000</v>
      </c>
    </row>
    <row r="31" spans="1:15" ht="13.8" x14ac:dyDescent="0.3">
      <c r="A31" s="282" t="s">
        <v>958</v>
      </c>
      <c r="B31" s="283" t="s">
        <v>956</v>
      </c>
      <c r="C31" s="309">
        <f>+BDQ!C276</f>
        <v>204540700</v>
      </c>
      <c r="D31" s="295">
        <f t="shared" si="0"/>
        <v>298164.28571428574</v>
      </c>
      <c r="E31" s="295">
        <f t="shared" si="1"/>
        <v>399493.5546875</v>
      </c>
      <c r="F31" s="296">
        <f t="shared" si="2"/>
        <v>492869.15662650601</v>
      </c>
      <c r="G31" s="258">
        <f t="shared" si="3"/>
        <v>43519.297872340423</v>
      </c>
      <c r="H31" s="295">
        <f t="shared" si="4"/>
        <v>63.439209726443764</v>
      </c>
      <c r="I31" s="295">
        <f t="shared" si="5"/>
        <v>84.998628656914889</v>
      </c>
      <c r="J31" s="296">
        <f t="shared" si="6"/>
        <v>104.86577800563957</v>
      </c>
      <c r="K31" s="1">
        <v>4700</v>
      </c>
      <c r="L31" s="256">
        <v>686</v>
      </c>
      <c r="M31" s="256">
        <v>512</v>
      </c>
      <c r="N31" s="256">
        <v>415</v>
      </c>
      <c r="O31" s="84">
        <v>204540700</v>
      </c>
    </row>
    <row r="32" spans="1:15" ht="14.4" thickBot="1" x14ac:dyDescent="0.35">
      <c r="A32" s="288" t="s">
        <v>959</v>
      </c>
      <c r="B32" s="289" t="s">
        <v>957</v>
      </c>
      <c r="C32" s="310">
        <f>+BDQ!C277</f>
        <v>243013500</v>
      </c>
      <c r="D32" s="297">
        <f t="shared" si="0"/>
        <v>354247.08454810496</v>
      </c>
      <c r="E32" s="297">
        <f t="shared" si="1"/>
        <v>474635.7421875</v>
      </c>
      <c r="F32" s="298">
        <f t="shared" si="2"/>
        <v>585574.69879518077</v>
      </c>
      <c r="G32" s="259">
        <f>+C32/K32</f>
        <v>51705</v>
      </c>
      <c r="H32" s="297">
        <f t="shared" si="4"/>
        <v>75.371720116618079</v>
      </c>
      <c r="I32" s="297">
        <f t="shared" si="5"/>
        <v>100.986328125</v>
      </c>
      <c r="J32" s="298">
        <f t="shared" si="6"/>
        <v>124.59036144578313</v>
      </c>
      <c r="K32" s="1">
        <v>4700</v>
      </c>
      <c r="L32" s="256">
        <v>686</v>
      </c>
      <c r="M32" s="256">
        <v>512</v>
      </c>
      <c r="N32" s="256">
        <v>415</v>
      </c>
      <c r="O32" s="84">
        <v>243013500</v>
      </c>
    </row>
    <row r="33" spans="1:14" ht="13.8" thickBot="1" x14ac:dyDescent="0.3">
      <c r="A33" s="376" t="s">
        <v>943</v>
      </c>
      <c r="B33" s="376"/>
      <c r="C33" s="260">
        <f t="shared" ref="C33:J33" si="7">+SUM(C13:C32)</f>
        <v>2982378539.0598001</v>
      </c>
      <c r="D33" s="261">
        <f t="shared" si="7"/>
        <v>4347490.581719825</v>
      </c>
      <c r="E33" s="261">
        <f t="shared" si="7"/>
        <v>5824958.0841011722</v>
      </c>
      <c r="F33" s="306">
        <f t="shared" si="7"/>
        <v>7186454.3109874707</v>
      </c>
      <c r="G33" s="260">
        <f t="shared" si="7"/>
        <v>522951.8026245599</v>
      </c>
      <c r="H33" s="261">
        <f t="shared" si="7"/>
        <v>762.32041198915442</v>
      </c>
      <c r="I33" s="261">
        <f t="shared" si="7"/>
        <v>1021.3902395010936</v>
      </c>
      <c r="J33" s="262">
        <f t="shared" si="7"/>
        <v>1260.1248256013494</v>
      </c>
      <c r="L33" s="256"/>
      <c r="M33" s="256"/>
      <c r="N33" s="256"/>
    </row>
    <row r="34" spans="1:14" ht="13.2" x14ac:dyDescent="0.25">
      <c r="C34" s="255"/>
      <c r="L34" s="256"/>
      <c r="M34" s="256"/>
      <c r="N34" s="256"/>
    </row>
    <row r="35" spans="1:14" ht="13.8" thickBot="1" x14ac:dyDescent="0.3">
      <c r="C35" s="255"/>
      <c r="L35" s="256"/>
      <c r="M35" s="256"/>
      <c r="N35" s="256"/>
    </row>
    <row r="36" spans="1:14" ht="13.8" thickBot="1" x14ac:dyDescent="0.3">
      <c r="C36" s="370" t="s">
        <v>950</v>
      </c>
      <c r="D36" s="370"/>
      <c r="E36" s="370"/>
      <c r="F36" s="370"/>
      <c r="G36" s="370" t="s">
        <v>944</v>
      </c>
      <c r="H36" s="370"/>
      <c r="I36" s="370"/>
      <c r="J36" s="370"/>
      <c r="L36" s="256"/>
      <c r="M36" s="256"/>
      <c r="N36" s="256"/>
    </row>
    <row r="37" spans="1:14" ht="28.2" thickBot="1" x14ac:dyDescent="0.3">
      <c r="A37" s="75" t="s">
        <v>0</v>
      </c>
      <c r="B37" s="76" t="s">
        <v>1</v>
      </c>
      <c r="C37" s="299" t="s">
        <v>941</v>
      </c>
      <c r="D37" s="300" t="s">
        <v>945</v>
      </c>
      <c r="E37" s="300" t="s">
        <v>946</v>
      </c>
      <c r="F37" s="301" t="s">
        <v>947</v>
      </c>
      <c r="G37" s="299" t="s">
        <v>942</v>
      </c>
      <c r="H37" s="300" t="s">
        <v>1022</v>
      </c>
      <c r="I37" s="300" t="s">
        <v>1023</v>
      </c>
      <c r="J37" s="301" t="s">
        <v>1024</v>
      </c>
      <c r="L37" s="256"/>
      <c r="M37" s="256"/>
      <c r="N37" s="256"/>
    </row>
    <row r="38" spans="1:14" ht="30" customHeight="1" x14ac:dyDescent="0.25">
      <c r="A38" s="291" t="s">
        <v>3</v>
      </c>
      <c r="B38" s="304" t="s">
        <v>1021</v>
      </c>
      <c r="C38" s="313">
        <f>+SUM(C13:C19)</f>
        <v>994439758.10230017</v>
      </c>
      <c r="D38" s="314">
        <f>+C38/L38</f>
        <v>1449620.6386330905</v>
      </c>
      <c r="E38" s="314">
        <f>+C38/M38</f>
        <v>1942265.152543555</v>
      </c>
      <c r="F38" s="315">
        <f>+C38/N38</f>
        <v>2396240.3809693982</v>
      </c>
      <c r="G38" s="316">
        <f>+C38/K38</f>
        <v>211582.92725580855</v>
      </c>
      <c r="H38" s="314">
        <f>+G38/L38</f>
        <v>308.42992311342357</v>
      </c>
      <c r="I38" s="314">
        <f>+G38/M38</f>
        <v>413.24790479650107</v>
      </c>
      <c r="J38" s="315">
        <f>+G38/N38</f>
        <v>509.83837892965914</v>
      </c>
      <c r="K38" s="303">
        <v>4700</v>
      </c>
      <c r="L38" s="256">
        <v>686</v>
      </c>
      <c r="M38" s="256">
        <v>512</v>
      </c>
      <c r="N38" s="256">
        <v>415</v>
      </c>
    </row>
    <row r="39" spans="1:14" ht="30" customHeight="1" thickBot="1" x14ac:dyDescent="0.3">
      <c r="A39" s="294" t="s">
        <v>16</v>
      </c>
      <c r="B39" s="305" t="s">
        <v>960</v>
      </c>
      <c r="C39" s="317">
        <f>+SUM(C20:C32)</f>
        <v>1987938780.9575</v>
      </c>
      <c r="D39" s="318">
        <f t="shared" ref="D39" si="8">+C39/L39</f>
        <v>2897869.9430867345</v>
      </c>
      <c r="E39" s="318">
        <f t="shared" ref="E39" si="9">+C39/M39</f>
        <v>3882692.9315576172</v>
      </c>
      <c r="F39" s="319">
        <f t="shared" ref="F39" si="10">+C39/N39</f>
        <v>4790213.930018072</v>
      </c>
      <c r="G39" s="320">
        <f t="shared" ref="G39" si="11">+C39/K39</f>
        <v>422965.69807606383</v>
      </c>
      <c r="H39" s="318">
        <f t="shared" ref="H39" si="12">+G39/L39</f>
        <v>616.56807299717764</v>
      </c>
      <c r="I39" s="318">
        <f t="shared" ref="I39" si="13">+G39/M39</f>
        <v>826.10487905481216</v>
      </c>
      <c r="J39" s="319">
        <f t="shared" ref="J39" si="14">+G39/N39</f>
        <v>1019.1944531953345</v>
      </c>
      <c r="K39" s="303">
        <v>4700</v>
      </c>
      <c r="L39" s="256">
        <v>686</v>
      </c>
      <c r="M39" s="256">
        <v>512</v>
      </c>
      <c r="N39" s="256">
        <v>415</v>
      </c>
    </row>
    <row r="40" spans="1:14" ht="12.6" thickBot="1" x14ac:dyDescent="0.3">
      <c r="A40" s="377" t="s">
        <v>943</v>
      </c>
      <c r="B40" s="378"/>
      <c r="C40" s="321">
        <f>+SUM(C38:C39)</f>
        <v>2982378539.0598001</v>
      </c>
      <c r="D40" s="322">
        <f>+SUM(D38:D39)</f>
        <v>4347490.581719825</v>
      </c>
      <c r="E40" s="322">
        <f t="shared" ref="E40:J40" si="15">+SUM(E38:E39)</f>
        <v>5824958.0841011722</v>
      </c>
      <c r="F40" s="323">
        <f t="shared" si="15"/>
        <v>7186454.3109874707</v>
      </c>
      <c r="G40" s="321">
        <f t="shared" si="15"/>
        <v>634548.62533187238</v>
      </c>
      <c r="H40" s="322">
        <f t="shared" si="15"/>
        <v>924.99799611060121</v>
      </c>
      <c r="I40" s="322">
        <f t="shared" si="15"/>
        <v>1239.3527838513132</v>
      </c>
      <c r="J40" s="323">
        <f t="shared" si="15"/>
        <v>1529.0328321249935</v>
      </c>
    </row>
    <row r="41" spans="1:14" x14ac:dyDescent="0.25">
      <c r="C41" s="255"/>
    </row>
    <row r="43" spans="1:14" ht="16.2" thickBot="1" x14ac:dyDescent="0.3">
      <c r="A43" s="369" t="s">
        <v>1020</v>
      </c>
      <c r="B43" s="369"/>
      <c r="C43" s="369"/>
      <c r="D43" s="369"/>
      <c r="E43" s="369"/>
    </row>
    <row r="44" spans="1:14" ht="12.6" thickBot="1" x14ac:dyDescent="0.3">
      <c r="A44" s="311" t="s">
        <v>0</v>
      </c>
      <c r="B44" s="311" t="s">
        <v>1</v>
      </c>
      <c r="C44" s="311" t="s">
        <v>903</v>
      </c>
      <c r="D44" s="311" t="s">
        <v>902</v>
      </c>
      <c r="E44" s="311" t="s">
        <v>923</v>
      </c>
      <c r="F44" s="311" t="s">
        <v>1027</v>
      </c>
      <c r="M44" s="84"/>
    </row>
    <row r="45" spans="1:14" ht="13.8" thickBot="1" x14ac:dyDescent="0.3">
      <c r="A45" s="312">
        <v>1</v>
      </c>
      <c r="B45" s="246" t="s">
        <v>904</v>
      </c>
      <c r="C45" s="302">
        <v>560</v>
      </c>
      <c r="D45" s="247">
        <f>+D40</f>
        <v>4347490.581719825</v>
      </c>
      <c r="E45" s="245">
        <f>+H40</f>
        <v>924.99799611060121</v>
      </c>
      <c r="F45" s="245">
        <f>+D45*C45</f>
        <v>2434594725.7631021</v>
      </c>
    </row>
    <row r="46" spans="1:14" ht="13.8" thickBot="1" x14ac:dyDescent="0.3">
      <c r="A46" s="312">
        <v>2</v>
      </c>
      <c r="B46" s="246" t="s">
        <v>905</v>
      </c>
      <c r="C46" s="302">
        <v>512</v>
      </c>
      <c r="D46" s="247">
        <f>+E40</f>
        <v>5824958.0841011722</v>
      </c>
      <c r="E46" s="245">
        <f>+I40</f>
        <v>1239.3527838513132</v>
      </c>
      <c r="F46" s="245">
        <f t="shared" ref="F46:F47" si="16">+D46*C46</f>
        <v>2982378539.0598001</v>
      </c>
    </row>
    <row r="47" spans="1:14" ht="13.8" thickBot="1" x14ac:dyDescent="0.3">
      <c r="A47" s="312">
        <v>3</v>
      </c>
      <c r="B47" s="246" t="s">
        <v>906</v>
      </c>
      <c r="C47" s="302">
        <v>415</v>
      </c>
      <c r="D47" s="247">
        <f>+F40</f>
        <v>7186454.3109874707</v>
      </c>
      <c r="E47" s="245">
        <f>+J40</f>
        <v>1529.0328321249935</v>
      </c>
      <c r="F47" s="245">
        <f t="shared" si="16"/>
        <v>2982378539.0598001</v>
      </c>
    </row>
    <row r="52" spans="3:3" x14ac:dyDescent="0.25">
      <c r="C52" s="79">
        <v>880</v>
      </c>
    </row>
  </sheetData>
  <mergeCells count="9">
    <mergeCell ref="A43:E43"/>
    <mergeCell ref="A7:F7"/>
    <mergeCell ref="C36:F36"/>
    <mergeCell ref="G36:J36"/>
    <mergeCell ref="A10:E10"/>
    <mergeCell ref="G11:J11"/>
    <mergeCell ref="C11:F11"/>
    <mergeCell ref="A33:B33"/>
    <mergeCell ref="A40:B40"/>
  </mergeCells>
  <pageMargins left="0.19685039370078741" right="0.19685039370078741" top="0.35433070866141736" bottom="0.35433070866141736" header="0.11811023622047245" footer="0.11811023622047245"/>
  <pageSetup paperSize="9" scale="80" orientation="landscape" useFirstPageNumber="1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sqref="A1:C21"/>
    </sheetView>
  </sheetViews>
  <sheetFormatPr defaultRowHeight="13.2" x14ac:dyDescent="0.25"/>
  <cols>
    <col min="1" max="1" width="25.33203125" customWidth="1"/>
    <col min="2" max="2" width="39.5546875" customWidth="1"/>
    <col min="3" max="3" width="24.21875" customWidth="1"/>
  </cols>
  <sheetData>
    <row r="1" spans="1:3" ht="16.2" customHeight="1" thickBot="1" x14ac:dyDescent="0.3">
      <c r="A1" s="75" t="s">
        <v>0</v>
      </c>
      <c r="B1" s="195" t="s">
        <v>1</v>
      </c>
      <c r="C1" s="195" t="s">
        <v>942</v>
      </c>
    </row>
    <row r="2" spans="1:3" ht="17.399999999999999" customHeight="1" x14ac:dyDescent="0.3">
      <c r="A2" s="279" t="s">
        <v>3</v>
      </c>
      <c r="B2" s="280" t="s">
        <v>77</v>
      </c>
      <c r="C2" s="281">
        <v>24468.08510638298</v>
      </c>
    </row>
    <row r="3" spans="1:3" ht="18" customHeight="1" x14ac:dyDescent="0.3">
      <c r="A3" s="282" t="s">
        <v>4</v>
      </c>
      <c r="B3" s="283" t="s">
        <v>154</v>
      </c>
      <c r="C3" s="284">
        <v>13063.680851063829</v>
      </c>
    </row>
    <row r="4" spans="1:3" ht="17.399999999999999" customHeight="1" x14ac:dyDescent="0.3">
      <c r="A4" s="282" t="s">
        <v>16</v>
      </c>
      <c r="B4" s="283" t="s">
        <v>73</v>
      </c>
      <c r="C4" s="284">
        <v>1777.1690605957442</v>
      </c>
    </row>
    <row r="5" spans="1:3" ht="18" customHeight="1" x14ac:dyDescent="0.3">
      <c r="A5" s="282" t="s">
        <v>13</v>
      </c>
      <c r="B5" s="283" t="s">
        <v>15</v>
      </c>
      <c r="C5" s="284">
        <v>26160.655534574467</v>
      </c>
    </row>
    <row r="6" spans="1:3" ht="18" customHeight="1" x14ac:dyDescent="0.3">
      <c r="A6" s="282" t="s">
        <v>35</v>
      </c>
      <c r="B6" s="283" t="s">
        <v>20</v>
      </c>
      <c r="C6" s="284">
        <v>14388.401389496075</v>
      </c>
    </row>
    <row r="7" spans="1:3" ht="19.2" customHeight="1" x14ac:dyDescent="0.3">
      <c r="A7" s="282" t="s">
        <v>9</v>
      </c>
      <c r="B7" s="283" t="s">
        <v>78</v>
      </c>
      <c r="C7" s="284">
        <v>14433.750904255319</v>
      </c>
    </row>
    <row r="8" spans="1:3" ht="15" customHeight="1" x14ac:dyDescent="0.3">
      <c r="A8" s="282" t="s">
        <v>34</v>
      </c>
      <c r="B8" s="283" t="s">
        <v>17</v>
      </c>
      <c r="C8" s="284">
        <v>5694.3617021276596</v>
      </c>
    </row>
    <row r="9" spans="1:3" ht="17.399999999999999" customHeight="1" x14ac:dyDescent="0.3">
      <c r="A9" s="282" t="s">
        <v>26</v>
      </c>
      <c r="B9" s="283" t="s">
        <v>33</v>
      </c>
      <c r="C9" s="284">
        <v>18735.604750531911</v>
      </c>
    </row>
    <row r="10" spans="1:3" ht="16.8" customHeight="1" x14ac:dyDescent="0.3">
      <c r="A10" s="282" t="s">
        <v>38</v>
      </c>
      <c r="B10" s="283" t="s">
        <v>282</v>
      </c>
      <c r="C10" s="284">
        <v>41153.324627659575</v>
      </c>
    </row>
    <row r="11" spans="1:3" ht="18" customHeight="1" x14ac:dyDescent="0.3">
      <c r="A11" s="285" t="s">
        <v>27</v>
      </c>
      <c r="B11" s="286" t="s">
        <v>955</v>
      </c>
      <c r="C11" s="287">
        <v>10571.104765957447</v>
      </c>
    </row>
    <row r="12" spans="1:3" ht="17.399999999999999" customHeight="1" x14ac:dyDescent="0.3">
      <c r="A12" s="285" t="s">
        <v>28</v>
      </c>
      <c r="B12" s="283" t="s">
        <v>40</v>
      </c>
      <c r="C12" s="284">
        <v>14650.928191489362</v>
      </c>
    </row>
    <row r="13" spans="1:3" ht="17.399999999999999" customHeight="1" x14ac:dyDescent="0.3">
      <c r="A13" s="282" t="s">
        <v>31</v>
      </c>
      <c r="B13" s="283" t="s">
        <v>80</v>
      </c>
      <c r="C13" s="284">
        <v>105295.16127234043</v>
      </c>
    </row>
    <row r="14" spans="1:3" ht="20.399999999999999" customHeight="1" x14ac:dyDescent="0.3">
      <c r="A14" s="282" t="s">
        <v>81</v>
      </c>
      <c r="B14" s="283" t="s">
        <v>79</v>
      </c>
      <c r="C14" s="284">
        <v>23097.446808510638</v>
      </c>
    </row>
    <row r="15" spans="1:3" ht="19.8" customHeight="1" x14ac:dyDescent="0.3">
      <c r="A15" s="282" t="s">
        <v>82</v>
      </c>
      <c r="B15" s="283" t="s">
        <v>39</v>
      </c>
      <c r="C15" s="284">
        <v>38994.810638297873</v>
      </c>
    </row>
    <row r="16" spans="1:3" ht="16.8" customHeight="1" x14ac:dyDescent="0.3">
      <c r="A16" s="282" t="s">
        <v>83</v>
      </c>
      <c r="B16" s="283" t="s">
        <v>672</v>
      </c>
      <c r="C16" s="284">
        <v>5585.1063829787236</v>
      </c>
    </row>
    <row r="17" spans="1:3" ht="16.2" customHeight="1" x14ac:dyDescent="0.3">
      <c r="A17" s="282" t="s">
        <v>91</v>
      </c>
      <c r="B17" s="283" t="s">
        <v>29</v>
      </c>
      <c r="C17" s="284">
        <v>12124.522127659575</v>
      </c>
    </row>
    <row r="18" spans="1:3" ht="16.2" customHeight="1" x14ac:dyDescent="0.3">
      <c r="A18" s="282" t="s">
        <v>640</v>
      </c>
      <c r="B18" s="283" t="s">
        <v>954</v>
      </c>
      <c r="C18" s="284">
        <v>12533.390638297873</v>
      </c>
    </row>
    <row r="19" spans="1:3" ht="15.6" customHeight="1" x14ac:dyDescent="0.3">
      <c r="A19" s="282" t="s">
        <v>880</v>
      </c>
      <c r="B19" s="283" t="s">
        <v>879</v>
      </c>
      <c r="C19" s="284">
        <v>45000</v>
      </c>
    </row>
    <row r="20" spans="1:3" ht="16.8" customHeight="1" x14ac:dyDescent="0.3">
      <c r="A20" s="282" t="s">
        <v>958</v>
      </c>
      <c r="B20" s="283" t="s">
        <v>956</v>
      </c>
      <c r="C20" s="284">
        <v>43519.297872340423</v>
      </c>
    </row>
    <row r="21" spans="1:3" ht="13.8" customHeight="1" thickBot="1" x14ac:dyDescent="0.35">
      <c r="A21" s="288" t="s">
        <v>959</v>
      </c>
      <c r="B21" s="289" t="s">
        <v>957</v>
      </c>
      <c r="C21" s="290">
        <v>51705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ELEC</vt:lpstr>
      <vt:lpstr>PLB</vt:lpstr>
      <vt:lpstr>METRE</vt:lpstr>
      <vt:lpstr>BDQ</vt:lpstr>
      <vt:lpstr>RATIO</vt:lpstr>
      <vt:lpstr>SCIM-DEVIS</vt:lpstr>
      <vt:lpstr>BDQ!Print_Area</vt:lpstr>
      <vt:lpstr>METRE!Print_Area</vt:lpstr>
      <vt:lpstr>RATIO!Print_Area</vt:lpstr>
      <vt:lpstr>METRE!Print_Titles</vt:lpstr>
      <vt:lpstr>RATIO!Print_Titles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Lanto RAJAONARIVELO</dc:creator>
  <cp:lastModifiedBy>Mioty Ifaliana</cp:lastModifiedBy>
  <cp:lastPrinted>2023-11-08T05:03:36Z</cp:lastPrinted>
  <dcterms:created xsi:type="dcterms:W3CDTF">2018-12-18T09:39:16Z</dcterms:created>
  <dcterms:modified xsi:type="dcterms:W3CDTF">2025-09-09T07:58:25Z</dcterms:modified>
</cp:coreProperties>
</file>