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2\Desktop\"/>
    </mc:Choice>
  </mc:AlternateContent>
  <bookViews>
    <workbookView xWindow="0" yWindow="0" windowWidth="11340" windowHeight="7860" tabRatio="613" firstSheet="3" activeTab="8"/>
  </bookViews>
  <sheets>
    <sheet name="Sheet1" sheetId="1" r:id="rId1"/>
    <sheet name="Vision Angles" sheetId="2" r:id="rId2"/>
    <sheet name="Accel Angle" sheetId="3" r:id="rId3"/>
    <sheet name="Sheet2" sheetId="5" r:id="rId4"/>
    <sheet name="Offsets" sheetId="6" r:id="rId5"/>
    <sheet name="Vision" sheetId="4" r:id="rId6"/>
    <sheet name="Offsets (2)" sheetId="7" r:id="rId7"/>
    <sheet name="Test Stand" sheetId="10" r:id="rId8"/>
    <sheet name="Robot Shooting Angles Updated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9" l="1"/>
  <c r="D16" i="9" l="1"/>
  <c r="I10" i="9" l="1"/>
  <c r="I16" i="9"/>
  <c r="I19" i="9" l="1"/>
  <c r="I18" i="9" l="1"/>
  <c r="D17" i="9" l="1"/>
  <c r="D18" i="9"/>
  <c r="D10" i="9" l="1"/>
  <c r="D11" i="9" s="1"/>
  <c r="E12" i="10"/>
  <c r="E13" i="10" s="1"/>
  <c r="E14" i="10" s="1"/>
  <c r="B12" i="10"/>
  <c r="B13" i="10" s="1"/>
  <c r="B14" i="10" s="1"/>
  <c r="B17" i="10" l="1"/>
  <c r="B19" i="10"/>
  <c r="B21" i="10" s="1"/>
  <c r="E16" i="10" s="1"/>
  <c r="E17" i="10" s="1"/>
  <c r="E20" i="10" s="1"/>
  <c r="E21" i="10" s="1"/>
  <c r="I11" i="9"/>
  <c r="I12" i="9" s="1"/>
  <c r="I14" i="9" s="1"/>
  <c r="I20" i="9" s="1"/>
  <c r="I21" i="9" s="1"/>
  <c r="D12" i="9" l="1"/>
  <c r="D14" i="9" s="1"/>
  <c r="D19" i="9" s="1"/>
  <c r="D21" i="9" l="1"/>
  <c r="D30" i="9" s="1"/>
  <c r="D28" i="9" l="1"/>
  <c r="D24" i="9"/>
  <c r="I5" i="9"/>
  <c r="D29" i="9" l="1"/>
  <c r="D31" i="9" s="1"/>
  <c r="D33" i="9" s="1"/>
  <c r="I22" i="9"/>
  <c r="I23" i="9" s="1"/>
  <c r="I24" i="9" s="1"/>
  <c r="I40" i="9"/>
  <c r="I41" i="9" s="1"/>
  <c r="I42" i="9" s="1"/>
  <c r="I43" i="9" s="1"/>
  <c r="E9" i="7"/>
  <c r="P33" i="7" s="1"/>
  <c r="R33" i="7" s="1"/>
  <c r="D8" i="7"/>
  <c r="O32" i="7" s="1"/>
  <c r="N36" i="4"/>
  <c r="M36" i="4"/>
  <c r="N31" i="4"/>
  <c r="M31" i="4"/>
  <c r="N26" i="4"/>
  <c r="M26" i="4"/>
  <c r="N21" i="4"/>
  <c r="M21" i="4"/>
  <c r="N16" i="4"/>
  <c r="M16" i="4"/>
  <c r="D32" i="9" l="1"/>
  <c r="D34" i="9" s="1"/>
  <c r="D39" i="9" s="1"/>
  <c r="D40" i="9" s="1"/>
  <c r="D41" i="9" s="1"/>
  <c r="D42" i="9" s="1"/>
  <c r="D43" i="9" s="1"/>
  <c r="P22" i="7"/>
  <c r="O25" i="7"/>
  <c r="R22" i="7"/>
  <c r="P26" i="7"/>
  <c r="R26" i="7" s="1"/>
  <c r="P30" i="7"/>
  <c r="R30" i="7" s="1"/>
  <c r="P34" i="7"/>
  <c r="R34" i="7" s="1"/>
  <c r="O29" i="7"/>
  <c r="Q29" i="7" s="1"/>
  <c r="O33" i="7"/>
  <c r="Q33" i="7" s="1"/>
  <c r="O21" i="7"/>
  <c r="P23" i="7"/>
  <c r="R23" i="7" s="1"/>
  <c r="P27" i="7"/>
  <c r="R27" i="7" s="1"/>
  <c r="P31" i="7"/>
  <c r="R31" i="7" s="1"/>
  <c r="P20" i="7"/>
  <c r="R20" i="7" s="1"/>
  <c r="P24" i="7"/>
  <c r="R24" i="7" s="1"/>
  <c r="P28" i="7"/>
  <c r="R28" i="7" s="1"/>
  <c r="P32" i="7"/>
  <c r="R32" i="7" s="1"/>
  <c r="P21" i="7"/>
  <c r="R21" i="7" s="1"/>
  <c r="P25" i="7"/>
  <c r="R25" i="7" s="1"/>
  <c r="P29" i="7"/>
  <c r="R29" i="7" s="1"/>
  <c r="O23" i="7"/>
  <c r="Q23" i="7" s="1"/>
  <c r="O27" i="7"/>
  <c r="O31" i="7"/>
  <c r="O20" i="7"/>
  <c r="Q20" i="7" s="1"/>
  <c r="O24" i="7"/>
  <c r="O28" i="7"/>
  <c r="Q28" i="7" s="1"/>
  <c r="O22" i="7"/>
  <c r="Q22" i="7" s="1"/>
  <c r="O26" i="7"/>
  <c r="Q26" i="7" s="1"/>
  <c r="O30" i="7"/>
  <c r="Q30" i="7" s="1"/>
  <c r="O34" i="7"/>
  <c r="Q31" i="7"/>
  <c r="Q27" i="7"/>
  <c r="Q34" i="7"/>
  <c r="Q24" i="7"/>
  <c r="Q32" i="7"/>
  <c r="Q21" i="7"/>
  <c r="Q25" i="7"/>
  <c r="B34" i="7"/>
  <c r="C34" i="7" s="1"/>
  <c r="D34" i="7" s="1"/>
  <c r="E34" i="7" s="1"/>
  <c r="B33" i="7"/>
  <c r="J33" i="7" s="1"/>
  <c r="B32" i="7"/>
  <c r="C32" i="7" s="1"/>
  <c r="D32" i="7" s="1"/>
  <c r="E32" i="7" s="1"/>
  <c r="B31" i="7"/>
  <c r="H31" i="7" s="1"/>
  <c r="I31" i="7" s="1"/>
  <c r="J30" i="7"/>
  <c r="B30" i="7"/>
  <c r="C30" i="7" s="1"/>
  <c r="D30" i="7" s="1"/>
  <c r="E30" i="7" s="1"/>
  <c r="B29" i="7"/>
  <c r="J29" i="7" s="1"/>
  <c r="B28" i="7"/>
  <c r="C28" i="7" s="1"/>
  <c r="D28" i="7" s="1"/>
  <c r="E28" i="7" s="1"/>
  <c r="B27" i="7"/>
  <c r="H27" i="7" s="1"/>
  <c r="I27" i="7" s="1"/>
  <c r="B26" i="7"/>
  <c r="C26" i="7" s="1"/>
  <c r="D26" i="7" s="1"/>
  <c r="E26" i="7" s="1"/>
  <c r="B25" i="7"/>
  <c r="H25" i="7" s="1"/>
  <c r="I25" i="7" s="1"/>
  <c r="B24" i="7"/>
  <c r="C24" i="7" s="1"/>
  <c r="D24" i="7" s="1"/>
  <c r="E24" i="7" s="1"/>
  <c r="B23" i="7"/>
  <c r="H23" i="7" s="1"/>
  <c r="I23" i="7" s="1"/>
  <c r="B22" i="7"/>
  <c r="C22" i="7" s="1"/>
  <c r="D22" i="7" s="1"/>
  <c r="E22" i="7" s="1"/>
  <c r="B21" i="7"/>
  <c r="J21" i="7" s="1"/>
  <c r="B20" i="7"/>
  <c r="C20" i="7" s="1"/>
  <c r="D20" i="7" s="1"/>
  <c r="E20" i="7" s="1"/>
  <c r="K32" i="7" l="1"/>
  <c r="K20" i="7"/>
  <c r="K24" i="7"/>
  <c r="K28" i="7"/>
  <c r="L28" i="7" s="1"/>
  <c r="K22" i="7"/>
  <c r="K26" i="7"/>
  <c r="K30" i="7"/>
  <c r="L30" i="7" s="1"/>
  <c r="K34" i="7"/>
  <c r="L34" i="7" s="1"/>
  <c r="J28" i="7"/>
  <c r="J26" i="7"/>
  <c r="J34" i="7"/>
  <c r="J20" i="7"/>
  <c r="J24" i="7"/>
  <c r="J32" i="7"/>
  <c r="J22" i="7"/>
  <c r="F22" i="7"/>
  <c r="F28" i="7"/>
  <c r="F20" i="7"/>
  <c r="F34" i="7"/>
  <c r="F30" i="7"/>
  <c r="F26" i="7"/>
  <c r="F24" i="7"/>
  <c r="F32" i="7"/>
  <c r="H21" i="7"/>
  <c r="I21" i="7" s="1"/>
  <c r="H29" i="7"/>
  <c r="I29" i="7" s="1"/>
  <c r="C21" i="7"/>
  <c r="D21" i="7" s="1"/>
  <c r="C23" i="7"/>
  <c r="D23" i="7" s="1"/>
  <c r="C25" i="7"/>
  <c r="D25" i="7" s="1"/>
  <c r="C27" i="7"/>
  <c r="D27" i="7" s="1"/>
  <c r="C29" i="7"/>
  <c r="D29" i="7" s="1"/>
  <c r="C31" i="7"/>
  <c r="D31" i="7" s="1"/>
  <c r="C33" i="7"/>
  <c r="D33" i="7" s="1"/>
  <c r="H33" i="7"/>
  <c r="I33" i="7" s="1"/>
  <c r="H22" i="7"/>
  <c r="I22" i="7" s="1"/>
  <c r="J23" i="7"/>
  <c r="H24" i="7"/>
  <c r="I24" i="7" s="1"/>
  <c r="J25" i="7"/>
  <c r="H26" i="7"/>
  <c r="I26" i="7" s="1"/>
  <c r="J27" i="7"/>
  <c r="H28" i="7"/>
  <c r="I28" i="7" s="1"/>
  <c r="H30" i="7"/>
  <c r="I30" i="7" s="1"/>
  <c r="J31" i="7"/>
  <c r="H32" i="7"/>
  <c r="I32" i="7" s="1"/>
  <c r="H34" i="7"/>
  <c r="I34" i="7" s="1"/>
  <c r="H20" i="7"/>
  <c r="I20" i="7" s="1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K8" i="6" s="1"/>
  <c r="J7" i="6"/>
  <c r="J6" i="6"/>
  <c r="L24" i="7" l="1"/>
  <c r="M24" i="7" s="1"/>
  <c r="L26" i="7"/>
  <c r="L20" i="7"/>
  <c r="M20" i="7" s="1"/>
  <c r="L22" i="7"/>
  <c r="M22" i="7" s="1"/>
  <c r="L32" i="7"/>
  <c r="M32" i="7" s="1"/>
  <c r="E33" i="7"/>
  <c r="K33" i="7"/>
  <c r="L33" i="7" s="1"/>
  <c r="M33" i="7" s="1"/>
  <c r="E31" i="7"/>
  <c r="F31" i="7" s="1"/>
  <c r="K31" i="7"/>
  <c r="E29" i="7"/>
  <c r="F29" i="7" s="1"/>
  <c r="K29" i="7"/>
  <c r="E21" i="7"/>
  <c r="F21" i="7" s="1"/>
  <c r="K21" i="7"/>
  <c r="E25" i="7"/>
  <c r="F25" i="7" s="1"/>
  <c r="K25" i="7"/>
  <c r="E23" i="7"/>
  <c r="F23" i="7" s="1"/>
  <c r="K23" i="7"/>
  <c r="E27" i="7"/>
  <c r="F27" i="7" s="1"/>
  <c r="K27" i="7"/>
  <c r="M34" i="7"/>
  <c r="M28" i="7"/>
  <c r="M26" i="7"/>
  <c r="M30" i="7"/>
  <c r="F33" i="7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5" i="7" l="1"/>
  <c r="M25" i="7" s="1"/>
  <c r="L23" i="7"/>
  <c r="M23" i="7" s="1"/>
  <c r="L21" i="7"/>
  <c r="M21" i="7" s="1"/>
  <c r="L27" i="7"/>
  <c r="M27" i="7" s="1"/>
  <c r="L29" i="7"/>
  <c r="M29" i="7" s="1"/>
  <c r="L31" i="7"/>
  <c r="M31" i="7" s="1"/>
  <c r="C17" i="6"/>
  <c r="C9" i="6"/>
  <c r="D9" i="6" s="1"/>
  <c r="E9" i="6" s="1"/>
  <c r="C7" i="6"/>
  <c r="C11" i="6"/>
  <c r="D11" i="6" s="1"/>
  <c r="E11" i="6" s="1"/>
  <c r="C15" i="6"/>
  <c r="C19" i="6"/>
  <c r="D19" i="6" s="1"/>
  <c r="E19" i="6" s="1"/>
  <c r="C8" i="6"/>
  <c r="C12" i="6"/>
  <c r="D12" i="6" s="1"/>
  <c r="E12" i="6" s="1"/>
  <c r="C16" i="6"/>
  <c r="D16" i="6" s="1"/>
  <c r="E16" i="6" s="1"/>
  <c r="C20" i="6"/>
  <c r="D20" i="6" s="1"/>
  <c r="E20" i="6" s="1"/>
  <c r="D8" i="6"/>
  <c r="E8" i="6" s="1"/>
  <c r="C6" i="6"/>
  <c r="I6" i="6"/>
  <c r="G6" i="6"/>
  <c r="H6" i="6" s="1"/>
  <c r="I10" i="6"/>
  <c r="G10" i="6"/>
  <c r="H10" i="6" s="1"/>
  <c r="K10" i="6" s="1"/>
  <c r="G14" i="6"/>
  <c r="H14" i="6" s="1"/>
  <c r="I14" i="6"/>
  <c r="I18" i="6"/>
  <c r="G18" i="6"/>
  <c r="H18" i="6" s="1"/>
  <c r="K18" i="6" s="1"/>
  <c r="I13" i="6"/>
  <c r="G13" i="6"/>
  <c r="H13" i="6" s="1"/>
  <c r="D7" i="6"/>
  <c r="E7" i="6" s="1"/>
  <c r="G7" i="6"/>
  <c r="H7" i="6" s="1"/>
  <c r="I7" i="6"/>
  <c r="G11" i="6"/>
  <c r="H11" i="6" s="1"/>
  <c r="I11" i="6"/>
  <c r="G15" i="6"/>
  <c r="H15" i="6" s="1"/>
  <c r="I15" i="6"/>
  <c r="G19" i="6"/>
  <c r="H19" i="6" s="1"/>
  <c r="I19" i="6"/>
  <c r="C13" i="6"/>
  <c r="I9" i="6"/>
  <c r="G9" i="6"/>
  <c r="H9" i="6" s="1"/>
  <c r="I17" i="6"/>
  <c r="G17" i="6"/>
  <c r="H17" i="6" s="1"/>
  <c r="K17" i="6" s="1"/>
  <c r="D15" i="6"/>
  <c r="E15" i="6" s="1"/>
  <c r="G8" i="6"/>
  <c r="H8" i="6" s="1"/>
  <c r="I8" i="6"/>
  <c r="I12" i="6"/>
  <c r="G12" i="6"/>
  <c r="H12" i="6" s="1"/>
  <c r="G16" i="6"/>
  <c r="H16" i="6" s="1"/>
  <c r="I16" i="6"/>
  <c r="I20" i="6"/>
  <c r="G20" i="6"/>
  <c r="H20" i="6" s="1"/>
  <c r="C10" i="6"/>
  <c r="C14" i="6"/>
  <c r="C18" i="6"/>
  <c r="D17" i="6"/>
  <c r="E17" i="6" s="1"/>
  <c r="O15" i="2"/>
  <c r="O16" i="2"/>
  <c r="O17" i="2"/>
  <c r="O18" i="2"/>
  <c r="O19" i="2"/>
  <c r="Q19" i="2" s="1"/>
  <c r="O20" i="2"/>
  <c r="O21" i="2"/>
  <c r="O22" i="2"/>
  <c r="O23" i="2"/>
  <c r="Q20" i="2"/>
  <c r="O14" i="2"/>
  <c r="Q22" i="2"/>
  <c r="P22" i="2"/>
  <c r="P20" i="2"/>
  <c r="P21" i="2"/>
  <c r="P19" i="2"/>
  <c r="E21" i="2"/>
  <c r="F21" i="2" s="1"/>
  <c r="E19" i="2"/>
  <c r="F19" i="2" s="1"/>
  <c r="G19" i="2"/>
  <c r="I19" i="2" s="1"/>
  <c r="M19" i="2" s="1"/>
  <c r="E17" i="2"/>
  <c r="G17" i="2" s="1"/>
  <c r="E15" i="2"/>
  <c r="G15" i="2" s="1"/>
  <c r="K9" i="6" l="1"/>
  <c r="K13" i="6"/>
  <c r="K6" i="6"/>
  <c r="K16" i="6"/>
  <c r="L16" i="6" s="1"/>
  <c r="K11" i="6"/>
  <c r="K20" i="6"/>
  <c r="L20" i="6" s="1"/>
  <c r="K14" i="6"/>
  <c r="K15" i="6"/>
  <c r="K7" i="6"/>
  <c r="L7" i="6" s="1"/>
  <c r="K19" i="6"/>
  <c r="K12" i="6"/>
  <c r="L8" i="6"/>
  <c r="D14" i="6"/>
  <c r="E14" i="6" s="1"/>
  <c r="D13" i="6"/>
  <c r="E13" i="6" s="1"/>
  <c r="D10" i="6"/>
  <c r="E10" i="6" s="1"/>
  <c r="D6" i="6"/>
  <c r="E6" i="6" s="1"/>
  <c r="D18" i="6"/>
  <c r="E18" i="6" s="1"/>
  <c r="Q21" i="2"/>
  <c r="G21" i="2"/>
  <c r="J19" i="2"/>
  <c r="K19" i="2" s="1"/>
  <c r="H19" i="2"/>
  <c r="L19" i="2" s="1"/>
  <c r="N19" i="2" s="1"/>
  <c r="J17" i="2"/>
  <c r="K17" i="2" s="1"/>
  <c r="H17" i="2"/>
  <c r="L17" i="2" s="1"/>
  <c r="N17" i="2" s="1"/>
  <c r="I17" i="2"/>
  <c r="M17" i="2" s="1"/>
  <c r="F17" i="2"/>
  <c r="I15" i="2"/>
  <c r="M15" i="2" s="1"/>
  <c r="J15" i="2"/>
  <c r="K15" i="2" s="1"/>
  <c r="F15" i="2"/>
  <c r="H15" i="2"/>
  <c r="L15" i="2" s="1"/>
  <c r="N15" i="2" s="1"/>
  <c r="E23" i="2"/>
  <c r="G23" i="2" s="1"/>
  <c r="E22" i="2"/>
  <c r="F22" i="2" s="1"/>
  <c r="E20" i="2"/>
  <c r="G20" i="2" s="1"/>
  <c r="E18" i="2"/>
  <c r="G18" i="2" s="1"/>
  <c r="E14" i="2"/>
  <c r="G14" i="2" s="1"/>
  <c r="E16" i="2"/>
  <c r="F16" i="2" s="1"/>
  <c r="F23" i="2"/>
  <c r="F14" i="2"/>
  <c r="L10" i="6" l="1"/>
  <c r="L15" i="6"/>
  <c r="L13" i="6"/>
  <c r="L6" i="6"/>
  <c r="L9" i="6"/>
  <c r="L18" i="6"/>
  <c r="L14" i="6"/>
  <c r="L17" i="6"/>
  <c r="L11" i="6"/>
  <c r="L12" i="6"/>
  <c r="L19" i="6"/>
  <c r="J21" i="2"/>
  <c r="K21" i="2" s="1"/>
  <c r="I21" i="2"/>
  <c r="M21" i="2" s="1"/>
  <c r="H21" i="2"/>
  <c r="L21" i="2" s="1"/>
  <c r="N21" i="2" s="1"/>
  <c r="G16" i="2"/>
  <c r="I16" i="2" s="1"/>
  <c r="M16" i="2" s="1"/>
  <c r="Q17" i="2" s="1"/>
  <c r="G22" i="2"/>
  <c r="J22" i="2" s="1"/>
  <c r="K22" i="2" s="1"/>
  <c r="I23" i="2"/>
  <c r="M23" i="2" s="1"/>
  <c r="J14" i="2"/>
  <c r="J23" i="2"/>
  <c r="K23" i="2" s="1"/>
  <c r="H18" i="2"/>
  <c r="J18" i="2"/>
  <c r="I18" i="2"/>
  <c r="J20" i="2"/>
  <c r="I20" i="2"/>
  <c r="H20" i="2"/>
  <c r="H14" i="2"/>
  <c r="F18" i="2"/>
  <c r="H22" i="2"/>
  <c r="I14" i="2"/>
  <c r="F20" i="2"/>
  <c r="I22" i="2"/>
  <c r="H23" i="2"/>
  <c r="L23" i="2" s="1"/>
  <c r="I14" i="5"/>
  <c r="I13" i="5"/>
  <c r="I12" i="5"/>
  <c r="I11" i="5"/>
  <c r="I10" i="5"/>
  <c r="I9" i="5"/>
  <c r="I8" i="5"/>
  <c r="I7" i="5"/>
  <c r="I6" i="5"/>
  <c r="I5" i="5"/>
  <c r="I4" i="5"/>
  <c r="G15" i="5"/>
  <c r="D15" i="5"/>
  <c r="E15" i="5" s="1"/>
  <c r="C15" i="5" s="1"/>
  <c r="J16" i="2" l="1"/>
  <c r="H16" i="2"/>
  <c r="K29" i="2"/>
  <c r="Q16" i="2"/>
  <c r="J29" i="2"/>
  <c r="K18" i="2"/>
  <c r="J27" i="2"/>
  <c r="K14" i="2"/>
  <c r="J25" i="2"/>
  <c r="K20" i="2"/>
  <c r="K28" i="2" s="1"/>
  <c r="J28" i="2"/>
  <c r="K16" i="2"/>
  <c r="K26" i="2" s="1"/>
  <c r="J26" i="2"/>
  <c r="M20" i="2"/>
  <c r="I28" i="2"/>
  <c r="M18" i="2"/>
  <c r="I27" i="2"/>
  <c r="I26" i="2"/>
  <c r="M22" i="2"/>
  <c r="I29" i="2"/>
  <c r="M14" i="2"/>
  <c r="I25" i="2"/>
  <c r="L22" i="2"/>
  <c r="H29" i="2"/>
  <c r="L18" i="2"/>
  <c r="H27" i="2"/>
  <c r="L16" i="2"/>
  <c r="H26" i="2"/>
  <c r="L14" i="2"/>
  <c r="H25" i="2"/>
  <c r="N23" i="2"/>
  <c r="L20" i="2"/>
  <c r="H28" i="2"/>
  <c r="K14" i="5"/>
  <c r="K13" i="5"/>
  <c r="K12" i="5"/>
  <c r="K11" i="5"/>
  <c r="K10" i="5"/>
  <c r="K9" i="5"/>
  <c r="K8" i="5"/>
  <c r="K7" i="5"/>
  <c r="K6" i="5"/>
  <c r="K5" i="5"/>
  <c r="E14" i="5"/>
  <c r="E13" i="5"/>
  <c r="E12" i="5"/>
  <c r="E11" i="5"/>
  <c r="E10" i="5"/>
  <c r="E9" i="5"/>
  <c r="E8" i="5"/>
  <c r="E7" i="5"/>
  <c r="E6" i="5"/>
  <c r="E5" i="5"/>
  <c r="D14" i="5"/>
  <c r="D13" i="5"/>
  <c r="D12" i="5"/>
  <c r="D11" i="5"/>
  <c r="D10" i="5"/>
  <c r="D9" i="5"/>
  <c r="D8" i="5"/>
  <c r="F8" i="5" s="1"/>
  <c r="D7" i="5"/>
  <c r="D6" i="5"/>
  <c r="D5" i="5"/>
  <c r="K25" i="2" l="1"/>
  <c r="K27" i="2"/>
  <c r="Q15" i="2"/>
  <c r="M25" i="2"/>
  <c r="M27" i="2"/>
  <c r="M26" i="2"/>
  <c r="Q23" i="2"/>
  <c r="M29" i="2"/>
  <c r="M28" i="2"/>
  <c r="N20" i="2"/>
  <c r="L28" i="2"/>
  <c r="N14" i="2"/>
  <c r="P15" i="2" s="1"/>
  <c r="L25" i="2"/>
  <c r="N18" i="2"/>
  <c r="L27" i="2"/>
  <c r="N16" i="2"/>
  <c r="L26" i="2"/>
  <c r="N22" i="2"/>
  <c r="P23" i="2" s="1"/>
  <c r="L29" i="2"/>
  <c r="F6" i="5"/>
  <c r="F9" i="5"/>
  <c r="G9" i="5" s="1"/>
  <c r="F5" i="5"/>
  <c r="G6" i="5" s="1"/>
  <c r="F10" i="5"/>
  <c r="G10" i="5" s="1"/>
  <c r="F7" i="5"/>
  <c r="G7" i="5" s="1"/>
  <c r="F11" i="5"/>
  <c r="F13" i="5"/>
  <c r="F14" i="5"/>
  <c r="G14" i="5" s="1"/>
  <c r="F12" i="5"/>
  <c r="G12" i="5" s="1"/>
  <c r="P18" i="2" l="1"/>
  <c r="P17" i="2"/>
  <c r="P16" i="2"/>
  <c r="Q18" i="2"/>
  <c r="G13" i="5"/>
  <c r="G11" i="5"/>
  <c r="G8" i="5"/>
  <c r="B7" i="4"/>
  <c r="Q16" i="4" l="1"/>
  <c r="E36" i="4"/>
  <c r="H36" i="4" s="1"/>
  <c r="J36" i="4" s="1"/>
  <c r="K36" i="4" s="1"/>
  <c r="D36" i="4"/>
  <c r="G36" i="4" s="1"/>
  <c r="E31" i="4"/>
  <c r="H31" i="4" s="1"/>
  <c r="J31" i="4" s="1"/>
  <c r="K31" i="4" s="1"/>
  <c r="D31" i="4"/>
  <c r="G31" i="4" s="1"/>
  <c r="E21" i="4"/>
  <c r="H21" i="4" s="1"/>
  <c r="J21" i="4" s="1"/>
  <c r="K21" i="4" s="1"/>
  <c r="D16" i="4"/>
  <c r="E26" i="4"/>
  <c r="H26" i="4" s="1"/>
  <c r="J26" i="4" s="1"/>
  <c r="K26" i="4" s="1"/>
  <c r="D21" i="4"/>
  <c r="G21" i="4" s="1"/>
  <c r="D26" i="4"/>
  <c r="G26" i="4" s="1"/>
  <c r="E16" i="4"/>
  <c r="E20" i="3"/>
  <c r="D20" i="3"/>
  <c r="D19" i="3"/>
  <c r="E19" i="3" s="1"/>
  <c r="F19" i="3" s="1"/>
  <c r="G19" i="3" s="1"/>
  <c r="D18" i="3"/>
  <c r="E18" i="3" s="1"/>
  <c r="F18" i="3" s="1"/>
  <c r="G18" i="3" s="1"/>
  <c r="D17" i="3"/>
  <c r="E17" i="3" s="1"/>
  <c r="F17" i="3" s="1"/>
  <c r="G17" i="3" s="1"/>
  <c r="D16" i="3"/>
  <c r="E16" i="3" s="1"/>
  <c r="F16" i="3" s="1"/>
  <c r="G16" i="3" s="1"/>
  <c r="D15" i="3"/>
  <c r="E15" i="3" s="1"/>
  <c r="F15" i="3" s="1"/>
  <c r="G15" i="3" s="1"/>
  <c r="D14" i="3"/>
  <c r="E14" i="3" s="1"/>
  <c r="F14" i="3" s="1"/>
  <c r="G14" i="3" s="1"/>
  <c r="D13" i="3"/>
  <c r="E13" i="3" s="1"/>
  <c r="F13" i="3" s="1"/>
  <c r="G13" i="3" s="1"/>
  <c r="D12" i="3"/>
  <c r="E12" i="3" s="1"/>
  <c r="F12" i="3" s="1"/>
  <c r="G12" i="3" s="1"/>
  <c r="D9" i="3"/>
  <c r="E9" i="3" s="1"/>
  <c r="F9" i="3" s="1"/>
  <c r="G9" i="3" s="1"/>
  <c r="D8" i="3"/>
  <c r="E8" i="3" s="1"/>
  <c r="F8" i="3" s="1"/>
  <c r="G8" i="3" s="1"/>
  <c r="D7" i="3"/>
  <c r="E7" i="3" s="1"/>
  <c r="F7" i="3" s="1"/>
  <c r="G7" i="3" s="1"/>
  <c r="D6" i="3"/>
  <c r="E6" i="3" s="1"/>
  <c r="F6" i="3" s="1"/>
  <c r="G6" i="3" s="1"/>
  <c r="B3" i="3"/>
  <c r="P36" i="4" l="1"/>
  <c r="S36" i="4"/>
  <c r="V36" i="4" s="1"/>
  <c r="Q36" i="4"/>
  <c r="T36" i="4"/>
  <c r="W36" i="4" s="1"/>
  <c r="Q31" i="4"/>
  <c r="T26" i="4"/>
  <c r="W26" i="4" s="1"/>
  <c r="P31" i="4"/>
  <c r="S31" i="4"/>
  <c r="V31" i="4" s="1"/>
  <c r="T31" i="4"/>
  <c r="W31" i="4" s="1"/>
  <c r="P26" i="4"/>
  <c r="S26" i="4"/>
  <c r="V26" i="4" s="1"/>
  <c r="H16" i="4"/>
  <c r="J16" i="4" s="1"/>
  <c r="K16" i="4" s="1"/>
  <c r="G16" i="4"/>
  <c r="F20" i="3"/>
  <c r="G20" i="3" s="1"/>
  <c r="Q26" i="4" l="1"/>
  <c r="P21" i="4"/>
  <c r="S21" i="4"/>
  <c r="V21" i="4" s="1"/>
  <c r="Q21" i="4"/>
  <c r="T21" i="4"/>
  <c r="W21" i="4" s="1"/>
  <c r="B8" i="2"/>
  <c r="B6" i="2"/>
  <c r="E8" i="2"/>
  <c r="F8" i="2" s="1"/>
  <c r="E7" i="2"/>
  <c r="F7" i="2" s="1"/>
  <c r="E6" i="2"/>
  <c r="G6" i="2" s="1"/>
  <c r="J6" i="2" s="1"/>
  <c r="K6" i="2" s="1"/>
  <c r="E5" i="2"/>
  <c r="G5" i="2" s="1"/>
  <c r="J5" i="2" s="1"/>
  <c r="K5" i="2" s="1"/>
  <c r="E4" i="2"/>
  <c r="G4" i="2" s="1"/>
  <c r="J4" i="2" s="1"/>
  <c r="K4" i="2" s="1"/>
  <c r="E3" i="2"/>
  <c r="G3" i="2" s="1"/>
  <c r="J3" i="2" s="1"/>
  <c r="K3" i="2" s="1"/>
  <c r="B7" i="2"/>
  <c r="F3" i="2" l="1"/>
  <c r="G7" i="2"/>
  <c r="J7" i="2" s="1"/>
  <c r="K7" i="2" s="1"/>
  <c r="F4" i="2"/>
  <c r="G8" i="2"/>
  <c r="J8" i="2" s="1"/>
  <c r="K8" i="2" s="1"/>
  <c r="F5" i="2"/>
  <c r="F6" i="2"/>
  <c r="H5" i="2"/>
  <c r="L5" i="2" s="1"/>
  <c r="I3" i="2"/>
  <c r="M3" i="2" s="1"/>
  <c r="H6" i="2"/>
  <c r="L6" i="2" s="1"/>
  <c r="I4" i="2"/>
  <c r="M4" i="2" s="1"/>
  <c r="H3" i="2"/>
  <c r="L3" i="2" s="1"/>
  <c r="H7" i="2"/>
  <c r="L7" i="2" s="1"/>
  <c r="I5" i="2"/>
  <c r="M5" i="2" s="1"/>
  <c r="I7" i="2"/>
  <c r="M7" i="2" s="1"/>
  <c r="H4" i="2"/>
  <c r="L4" i="2" s="1"/>
  <c r="H8" i="2"/>
  <c r="L8" i="2" s="1"/>
  <c r="I6" i="2"/>
  <c r="M6" i="2" s="1"/>
  <c r="T16" i="4"/>
  <c r="W16" i="4" s="1"/>
  <c r="P16" i="4"/>
  <c r="S16" i="4"/>
  <c r="V16" i="4" s="1"/>
  <c r="H34" i="1"/>
  <c r="J34" i="1" s="1"/>
  <c r="G34" i="1"/>
  <c r="I34" i="1" s="1"/>
  <c r="H33" i="1"/>
  <c r="J33" i="1" s="1"/>
  <c r="G33" i="1"/>
  <c r="I33" i="1" s="1"/>
  <c r="H32" i="1"/>
  <c r="J32" i="1" s="1"/>
  <c r="G32" i="1"/>
  <c r="I32" i="1" s="1"/>
  <c r="H31" i="1"/>
  <c r="J31" i="1" s="1"/>
  <c r="G31" i="1"/>
  <c r="I31" i="1" s="1"/>
  <c r="H30" i="1"/>
  <c r="J30" i="1" s="1"/>
  <c r="G30" i="1"/>
  <c r="I30" i="1" s="1"/>
  <c r="H28" i="1"/>
  <c r="J28" i="1" s="1"/>
  <c r="G28" i="1"/>
  <c r="I28" i="1" s="1"/>
  <c r="H27" i="1"/>
  <c r="J27" i="1" s="1"/>
  <c r="G27" i="1"/>
  <c r="I27" i="1" s="1"/>
  <c r="H26" i="1"/>
  <c r="J26" i="1" s="1"/>
  <c r="G26" i="1"/>
  <c r="I26" i="1" s="1"/>
  <c r="H25" i="1"/>
  <c r="J25" i="1" s="1"/>
  <c r="G25" i="1"/>
  <c r="I25" i="1" s="1"/>
  <c r="H24" i="1"/>
  <c r="J24" i="1" s="1"/>
  <c r="G24" i="1"/>
  <c r="I24" i="1" s="1"/>
  <c r="H22" i="1"/>
  <c r="J22" i="1" s="1"/>
  <c r="G22" i="1"/>
  <c r="I22" i="1" s="1"/>
  <c r="H21" i="1"/>
  <c r="J21" i="1" s="1"/>
  <c r="G21" i="1"/>
  <c r="I21" i="1" s="1"/>
  <c r="H20" i="1"/>
  <c r="J20" i="1" s="1"/>
  <c r="G20" i="1"/>
  <c r="I20" i="1" s="1"/>
  <c r="H19" i="1"/>
  <c r="J19" i="1" s="1"/>
  <c r="G19" i="1"/>
  <c r="I19" i="1" s="1"/>
  <c r="H18" i="1"/>
  <c r="J18" i="1" s="1"/>
  <c r="G18" i="1"/>
  <c r="I18" i="1" s="1"/>
  <c r="H16" i="1"/>
  <c r="J16" i="1" s="1"/>
  <c r="G16" i="1"/>
  <c r="I16" i="1" s="1"/>
  <c r="H15" i="1"/>
  <c r="M15" i="1" s="1"/>
  <c r="P15" i="1" s="1"/>
  <c r="G15" i="1"/>
  <c r="I15" i="1" s="1"/>
  <c r="H14" i="1"/>
  <c r="J14" i="1" s="1"/>
  <c r="G14" i="1"/>
  <c r="I14" i="1" s="1"/>
  <c r="H13" i="1"/>
  <c r="J13" i="1" s="1"/>
  <c r="G13" i="1"/>
  <c r="I13" i="1" s="1"/>
  <c r="H12" i="1"/>
  <c r="J12" i="1" s="1"/>
  <c r="G12" i="1"/>
  <c r="I12" i="1" s="1"/>
  <c r="H10" i="1"/>
  <c r="M10" i="1" s="1"/>
  <c r="P10" i="1" s="1"/>
  <c r="G10" i="1"/>
  <c r="I10" i="1" s="1"/>
  <c r="H9" i="1"/>
  <c r="J9" i="1" s="1"/>
  <c r="G9" i="1"/>
  <c r="I9" i="1" s="1"/>
  <c r="H8" i="1"/>
  <c r="J8" i="1" s="1"/>
  <c r="G8" i="1"/>
  <c r="I8" i="1" s="1"/>
  <c r="H7" i="1"/>
  <c r="J7" i="1" s="1"/>
  <c r="G7" i="1"/>
  <c r="I7" i="1" s="1"/>
  <c r="H6" i="1"/>
  <c r="M6" i="1" s="1"/>
  <c r="P6" i="1" s="1"/>
  <c r="G6" i="1"/>
  <c r="I6" i="1" s="1"/>
  <c r="I8" i="2" l="1"/>
  <c r="M8" i="2" s="1"/>
  <c r="M13" i="1"/>
  <c r="P13" i="1" s="1"/>
  <c r="M22" i="1"/>
  <c r="P22" i="1" s="1"/>
  <c r="M32" i="1"/>
  <c r="P32" i="1" s="1"/>
  <c r="J15" i="1"/>
  <c r="L7" i="1"/>
  <c r="O7" i="1" s="1"/>
  <c r="L9" i="1"/>
  <c r="O9" i="1" s="1"/>
  <c r="L12" i="1"/>
  <c r="O12" i="1" s="1"/>
  <c r="L14" i="1"/>
  <c r="O14" i="1" s="1"/>
  <c r="L16" i="1"/>
  <c r="O16" i="1" s="1"/>
  <c r="L19" i="1"/>
  <c r="O19" i="1" s="1"/>
  <c r="L21" i="1"/>
  <c r="O21" i="1" s="1"/>
  <c r="L24" i="1"/>
  <c r="O24" i="1" s="1"/>
  <c r="L26" i="1"/>
  <c r="O26" i="1" s="1"/>
  <c r="L28" i="1"/>
  <c r="O28" i="1" s="1"/>
  <c r="L31" i="1"/>
  <c r="O31" i="1" s="1"/>
  <c r="L33" i="1"/>
  <c r="O33" i="1" s="1"/>
  <c r="M8" i="1"/>
  <c r="P8" i="1" s="1"/>
  <c r="M20" i="1"/>
  <c r="P20" i="1" s="1"/>
  <c r="M27" i="1"/>
  <c r="P27" i="1" s="1"/>
  <c r="M34" i="1"/>
  <c r="P34" i="1" s="1"/>
  <c r="J10" i="1"/>
  <c r="J6" i="1"/>
  <c r="M7" i="1"/>
  <c r="P7" i="1" s="1"/>
  <c r="M9" i="1"/>
  <c r="P9" i="1" s="1"/>
  <c r="M12" i="1"/>
  <c r="P12" i="1" s="1"/>
  <c r="M14" i="1"/>
  <c r="P14" i="1" s="1"/>
  <c r="M16" i="1"/>
  <c r="P16" i="1" s="1"/>
  <c r="M19" i="1"/>
  <c r="P19" i="1" s="1"/>
  <c r="M21" i="1"/>
  <c r="P21" i="1" s="1"/>
  <c r="M24" i="1"/>
  <c r="P24" i="1" s="1"/>
  <c r="M26" i="1"/>
  <c r="P26" i="1" s="1"/>
  <c r="M28" i="1"/>
  <c r="P28" i="1" s="1"/>
  <c r="M31" i="1"/>
  <c r="P31" i="1" s="1"/>
  <c r="M33" i="1"/>
  <c r="P33" i="1" s="1"/>
  <c r="M18" i="1"/>
  <c r="P18" i="1" s="1"/>
  <c r="M25" i="1"/>
  <c r="P25" i="1" s="1"/>
  <c r="M30" i="1"/>
  <c r="P30" i="1" s="1"/>
  <c r="L8" i="1"/>
  <c r="O8" i="1" s="1"/>
  <c r="L10" i="1"/>
  <c r="O10" i="1" s="1"/>
  <c r="L13" i="1"/>
  <c r="O13" i="1" s="1"/>
  <c r="L15" i="1"/>
  <c r="O15" i="1" s="1"/>
  <c r="L18" i="1"/>
  <c r="O18" i="1" s="1"/>
  <c r="L20" i="1"/>
  <c r="O20" i="1" s="1"/>
  <c r="L22" i="1"/>
  <c r="O22" i="1" s="1"/>
  <c r="L25" i="1"/>
  <c r="O25" i="1" s="1"/>
  <c r="L27" i="1"/>
  <c r="O27" i="1" s="1"/>
  <c r="L30" i="1"/>
  <c r="O30" i="1" s="1"/>
  <c r="L32" i="1"/>
  <c r="O32" i="1" s="1"/>
  <c r="L34" i="1"/>
  <c r="O34" i="1" s="1"/>
  <c r="L6" i="1"/>
  <c r="O6" i="1" s="1"/>
</calcChain>
</file>

<file path=xl/sharedStrings.xml><?xml version="1.0" encoding="utf-8"?>
<sst xmlns="http://schemas.openxmlformats.org/spreadsheetml/2006/main" count="361" uniqueCount="264">
  <si>
    <t>Xtr</t>
  </si>
  <si>
    <t>Yctr</t>
  </si>
  <si>
    <t>ServoConv</t>
  </si>
  <si>
    <t>ImageConv</t>
  </si>
  <si>
    <t>X-Angle</t>
  </si>
  <si>
    <t>Y-Angle</t>
  </si>
  <si>
    <t>Servo Value</t>
  </si>
  <si>
    <t>X-Pos</t>
  </si>
  <si>
    <t>Y-Pos</t>
  </si>
  <si>
    <t>Image Coords</t>
  </si>
  <si>
    <t>X</t>
  </si>
  <si>
    <t>Y</t>
  </si>
  <si>
    <t>Servo Angle</t>
  </si>
  <si>
    <t>X-angle</t>
  </si>
  <si>
    <t>Y-angle</t>
  </si>
  <si>
    <t>Target Angles</t>
  </si>
  <si>
    <t>X-adj</t>
  </si>
  <si>
    <t>Y-adj</t>
  </si>
  <si>
    <t>X-offset</t>
  </si>
  <si>
    <t>Y-offset</t>
  </si>
  <si>
    <t>OFFSETS</t>
  </si>
  <si>
    <t>Adj Angles W-Offset</t>
  </si>
  <si>
    <t>screen ht</t>
  </si>
  <si>
    <t>screen width</t>
  </si>
  <si>
    <t>lens angle</t>
  </si>
  <si>
    <t>Target CTR ht.</t>
  </si>
  <si>
    <t>Target Width</t>
  </si>
  <si>
    <t>Degrees/Pixel</t>
  </si>
  <si>
    <t>Dist to Trgt</t>
  </si>
  <si>
    <t>Angle To Trgt</t>
  </si>
  <si>
    <t>Deg * -&gt;Rad</t>
  </si>
  <si>
    <t>Rad * -&gt;Deg</t>
  </si>
  <si>
    <t>X-Offset in Inches</t>
  </si>
  <si>
    <t>Y-Offset in Inches</t>
  </si>
  <si>
    <t>X-Offset Angle</t>
  </si>
  <si>
    <t>Y-Offset Angle</t>
  </si>
  <si>
    <t>Targt Width</t>
  </si>
  <si>
    <t>Pixel</t>
  </si>
  <si>
    <t>X-Offset</t>
  </si>
  <si>
    <t>Pixels</t>
  </si>
  <si>
    <t>Y-Offset</t>
  </si>
  <si>
    <t>Degrees</t>
  </si>
  <si>
    <t>Dist Wall</t>
  </si>
  <si>
    <t>Ft</t>
  </si>
  <si>
    <t>Inches</t>
  </si>
  <si>
    <t>Voltage</t>
  </si>
  <si>
    <t>Mid Vol</t>
  </si>
  <si>
    <t>Scale (3g)</t>
  </si>
  <si>
    <t>measured 0 angle voltage</t>
  </si>
  <si>
    <t>measured 20 angle voltage</t>
  </si>
  <si>
    <t>measured 30 angle voltage</t>
  </si>
  <si>
    <t>measured 45 angle voltage</t>
  </si>
  <si>
    <t>Conver to  Accel</t>
  </si>
  <si>
    <t>Adjust to zero</t>
  </si>
  <si>
    <t>Adjust for 3G</t>
  </si>
  <si>
    <t>Measured</t>
  </si>
  <si>
    <t>Target HT</t>
  </si>
  <si>
    <t>Target CtrY</t>
  </si>
  <si>
    <t>Target CtrX</t>
  </si>
  <si>
    <t>Hdg</t>
  </si>
  <si>
    <t xml:space="preserve">Angle </t>
  </si>
  <si>
    <t>Step 1</t>
  </si>
  <si>
    <t>Set 2</t>
  </si>
  <si>
    <t>target Xangle</t>
  </si>
  <si>
    <t>target Yangle</t>
  </si>
  <si>
    <t>Adj Hdg</t>
  </si>
  <si>
    <t>Adj Angle</t>
  </si>
  <si>
    <t>Step 3</t>
  </si>
  <si>
    <t>Step 4</t>
  </si>
  <si>
    <t>run</t>
  </si>
  <si>
    <t>Dist</t>
  </si>
  <si>
    <t>X Offset Angle</t>
  </si>
  <si>
    <t>Y Offset Angle</t>
  </si>
  <si>
    <t>Step 5</t>
  </si>
  <si>
    <t>Shtr CtrX</t>
  </si>
  <si>
    <t>Shtr CtrY</t>
  </si>
  <si>
    <t>Step 6</t>
  </si>
  <si>
    <t>Delta X</t>
  </si>
  <si>
    <t>Delta Y</t>
  </si>
  <si>
    <t>Step 7</t>
  </si>
  <si>
    <t>Final Hdg</t>
  </si>
  <si>
    <t>Final Angle</t>
  </si>
  <si>
    <t>Img CtrX</t>
  </si>
  <si>
    <t>Img CtrY</t>
  </si>
  <si>
    <t>Img Conv</t>
  </si>
  <si>
    <t>Img FOV</t>
  </si>
  <si>
    <t>Img Width</t>
  </si>
  <si>
    <t>ImgHt</t>
  </si>
  <si>
    <t>Xoffset</t>
  </si>
  <si>
    <t>Yoffset</t>
  </si>
  <si>
    <t>Note: Compensate for distance by subracting the 13.5 inches from camera front to back hinge and 3inches the shooter is off the floor from target ht</t>
  </si>
  <si>
    <t>Note:Add a ball drop value to the y angle between step 4 and step 6 ???????</t>
  </si>
  <si>
    <t>measured</t>
  </si>
  <si>
    <t>anglr</t>
  </si>
  <si>
    <t>Encoder</t>
  </si>
  <si>
    <t>Cnt</t>
  </si>
  <si>
    <t>Accel</t>
  </si>
  <si>
    <t>Angle</t>
  </si>
  <si>
    <t>Value</t>
  </si>
  <si>
    <t>Delta</t>
  </si>
  <si>
    <t>Enc</t>
  </si>
  <si>
    <t>Deg Per</t>
  </si>
  <si>
    <t>Dellta Deg</t>
  </si>
  <si>
    <t>per enc</t>
  </si>
  <si>
    <t>Made up line</t>
  </si>
  <si>
    <t>Delts Angles</t>
  </si>
  <si>
    <t>Delt</t>
  </si>
  <si>
    <t>Xdelta</t>
  </si>
  <si>
    <t>Ydelta</t>
  </si>
  <si>
    <t>Above Deltas</t>
  </si>
  <si>
    <t>X Ctr</t>
  </si>
  <si>
    <t>Y Ctr</t>
  </si>
  <si>
    <t>Const</t>
  </si>
  <si>
    <t>Ht</t>
  </si>
  <si>
    <t>Wall Dist</t>
  </si>
  <si>
    <t>From Cam</t>
  </si>
  <si>
    <t>Hinge</t>
  </si>
  <si>
    <t>X Angle</t>
  </si>
  <si>
    <t>X Pos</t>
  </si>
  <si>
    <t>From Ctr</t>
  </si>
  <si>
    <t>Convert</t>
  </si>
  <si>
    <t>Feet</t>
  </si>
  <si>
    <t>Recommeded</t>
  </si>
  <si>
    <t>Shooter Angle</t>
  </si>
  <si>
    <t>from cam</t>
  </si>
  <si>
    <t>Projected Target</t>
  </si>
  <si>
    <t>Y Offset</t>
  </si>
  <si>
    <t>Ball Drop</t>
  </si>
  <si>
    <t xml:space="preserve">Angle at this </t>
  </si>
  <si>
    <t>Shooter angle</t>
  </si>
  <si>
    <t>Final</t>
  </si>
  <si>
    <t>ProjTgt.</t>
  </si>
  <si>
    <t>X Distance</t>
  </si>
  <si>
    <t>from front</t>
  </si>
  <si>
    <t>of camera</t>
  </si>
  <si>
    <t>X Offset</t>
  </si>
  <si>
    <t>cam dist</t>
  </si>
  <si>
    <t>Y Offset "</t>
  </si>
  <si>
    <t>X Offset "</t>
  </si>
  <si>
    <t>Trgt Y-Ctr</t>
  </si>
  <si>
    <t>Trgt X-Ctr</t>
  </si>
  <si>
    <t>Trgt X Angle</t>
  </si>
  <si>
    <t>Trgt Y Angle</t>
  </si>
  <si>
    <t>Img Ctr X</t>
  </si>
  <si>
    <t>Img Ctr Y</t>
  </si>
  <si>
    <t>Curr Angle</t>
  </si>
  <si>
    <t>Curr Hdg</t>
  </si>
  <si>
    <t>Rec.</t>
  </si>
  <si>
    <t>Target VS Shooter</t>
  </si>
  <si>
    <t>max x</t>
  </si>
  <si>
    <t>max y</t>
  </si>
  <si>
    <t>min y</t>
  </si>
  <si>
    <t>min X</t>
  </si>
  <si>
    <t>Distance Calculations</t>
  </si>
  <si>
    <t>X Axis Heading Calculations</t>
  </si>
  <si>
    <t>X Target Pixel Delta</t>
  </si>
  <si>
    <t>Y Target Pixels Delta</t>
  </si>
  <si>
    <t>X Target Angle</t>
  </si>
  <si>
    <t>Y Target Angle</t>
  </si>
  <si>
    <t>Final Turn Angle</t>
  </si>
  <si>
    <t>Current Heading</t>
  </si>
  <si>
    <t>Tgt Y Position</t>
  </si>
  <si>
    <t>Tgt X Position</t>
  </si>
  <si>
    <t>Image Ctr Y Pos</t>
  </si>
  <si>
    <t>Image Ctr X Pos</t>
  </si>
  <si>
    <t>Diag Distance to Hinge</t>
  </si>
  <si>
    <t>* Note angle of 2.2 degrees valid at 8 feet however becomes more inacurrate futher out</t>
  </si>
  <si>
    <t>** Note measured at 8 feet 13.5" - 8.6" = 4.9" at 130.2" to lens = 2.1.. Degrees camera missaligned to shooter</t>
  </si>
  <si>
    <t>Final Heading</t>
  </si>
  <si>
    <t xml:space="preserve">      camera pointed not 8.5 inches left of ctr but 13.5inches needed more negative correction</t>
  </si>
  <si>
    <t>Corrected Y target Angle</t>
  </si>
  <si>
    <t>Corrected X target Angle</t>
  </si>
  <si>
    <t>Run from Hinge to Target</t>
  </si>
  <si>
    <t>Current Shooter Angle</t>
  </si>
  <si>
    <t>Camera X Alignment Error (- = Left of Ctr)</t>
  </si>
  <si>
    <t>X Angle Offset for 8.6 camera offset (- = Left of Ctr)</t>
  </si>
  <si>
    <t>Camera Y Alignment Error  (- = Below Ctr)</t>
  </si>
  <si>
    <t>Y Angle Camera Offset ( 0= camera on plane)</t>
  </si>
  <si>
    <t>Camera Y Alignment Error  (- = Below Ctr) **</t>
  </si>
  <si>
    <t>Target Height above Hinge (3 inches off ground)</t>
  </si>
  <si>
    <t>Run to Target from Hinge (AB)</t>
  </si>
  <si>
    <t>AD</t>
  </si>
  <si>
    <t>DC</t>
  </si>
  <si>
    <t>AC</t>
  </si>
  <si>
    <t>&lt;FCB</t>
  </si>
  <si>
    <t>&lt;ACD</t>
  </si>
  <si>
    <t>&lt;ACE</t>
  </si>
  <si>
    <t>AE</t>
  </si>
  <si>
    <t>&lt;EAB</t>
  </si>
  <si>
    <t>&lt;DAB</t>
  </si>
  <si>
    <t>AB</t>
  </si>
  <si>
    <t xml:space="preserve">Step </t>
  </si>
  <si>
    <t>Label</t>
  </si>
  <si>
    <t>Given</t>
  </si>
  <si>
    <t>Shooter X-Axis Cursor Calculation</t>
  </si>
  <si>
    <t>DG</t>
  </si>
  <si>
    <t>&lt;FCG</t>
  </si>
  <si>
    <t>FG</t>
  </si>
  <si>
    <t>Y-Axis Calculations</t>
  </si>
  <si>
    <t>X Axis Calculations</t>
  </si>
  <si>
    <t>EG</t>
  </si>
  <si>
    <t>AG</t>
  </si>
  <si>
    <t>Shooter Y-Axis Cursor Calculation</t>
  </si>
  <si>
    <t>Camera X Alignment Error  (- = Left of Ctr) *</t>
  </si>
  <si>
    <t>ft.</t>
  </si>
  <si>
    <t>DF</t>
  </si>
  <si>
    <t>EF</t>
  </si>
  <si>
    <t>Shooter Y-Axis Ideal Angle Calculation</t>
  </si>
  <si>
    <r>
      <t xml:space="preserve">Current Camera Rise (EG) &amp; (FB)                               </t>
    </r>
    <r>
      <rPr>
        <b/>
        <sz val="12"/>
        <color rgb="FF00B050"/>
        <rFont val="Calibri"/>
        <family val="2"/>
        <scheme val="minor"/>
      </rPr>
      <t>13.5*sin(&lt;GAE)</t>
    </r>
  </si>
  <si>
    <r>
      <t xml:space="preserve">Current Camera Run (AG)                                           </t>
    </r>
    <r>
      <rPr>
        <b/>
        <sz val="12"/>
        <color rgb="FF00B050"/>
        <rFont val="Calibri"/>
        <family val="2"/>
        <scheme val="minor"/>
      </rPr>
      <t>13.5*cos(&lt;GAE)</t>
    </r>
  </si>
  <si>
    <r>
      <t xml:space="preserve">Rise from Camera to Target (DF)                                       </t>
    </r>
    <r>
      <rPr>
        <b/>
        <sz val="12"/>
        <color rgb="FF00B050"/>
        <rFont val="Calibri"/>
        <family val="2"/>
        <scheme val="minor"/>
      </rPr>
      <t xml:space="preserve"> Tgt Ht - EG</t>
    </r>
  </si>
  <si>
    <r>
      <t xml:space="preserve">Distance to Target Ctr from Hinge </t>
    </r>
    <r>
      <rPr>
        <b/>
        <sz val="12"/>
        <color rgb="FF00B050"/>
        <rFont val="Calibri"/>
        <family val="2"/>
        <scheme val="minor"/>
      </rPr>
      <t xml:space="preserve">   sqrt(AB^2  + TgtHt^2)</t>
    </r>
  </si>
  <si>
    <r>
      <t xml:space="preserve">Tgt X Position                         </t>
    </r>
    <r>
      <rPr>
        <b/>
        <sz val="12"/>
        <color rgb="FF00B050"/>
        <rFont val="Calibri"/>
        <family val="2"/>
        <scheme val="minor"/>
      </rPr>
      <t xml:space="preserve">      round(((minX+maxX)/2),0)</t>
    </r>
  </si>
  <si>
    <r>
      <t xml:space="preserve">X Target Pixel Delta                                                 </t>
    </r>
    <r>
      <rPr>
        <b/>
        <sz val="12"/>
        <color rgb="FF00B050"/>
        <rFont val="Calibri"/>
        <family val="2"/>
        <scheme val="minor"/>
      </rPr>
      <t>Tgt X - Ctr X</t>
    </r>
  </si>
  <si>
    <r>
      <t xml:space="preserve">X Target Angle before Adjustment      </t>
    </r>
    <r>
      <rPr>
        <b/>
        <sz val="12"/>
        <color rgb="FF00B050"/>
        <rFont val="Calibri"/>
        <family val="2"/>
        <scheme val="minor"/>
      </rPr>
      <t>Pixel Delta * 0.102</t>
    </r>
  </si>
  <si>
    <r>
      <t xml:space="preserve">Corrected X target Angle                      </t>
    </r>
    <r>
      <rPr>
        <b/>
        <sz val="12"/>
        <color rgb="FF00B050"/>
        <rFont val="Calibri"/>
        <family val="2"/>
        <scheme val="minor"/>
      </rPr>
      <t>&lt;FCD + Error X Align</t>
    </r>
  </si>
  <si>
    <t>EG'</t>
  </si>
  <si>
    <t>AG'</t>
  </si>
  <si>
    <t>DF'</t>
  </si>
  <si>
    <t>EF'</t>
  </si>
  <si>
    <r>
      <t xml:space="preserve">Current Camera Rise (EG') &amp; (FB')                            </t>
    </r>
    <r>
      <rPr>
        <b/>
        <sz val="12"/>
        <color rgb="FF00B050"/>
        <rFont val="Calibri"/>
        <family val="2"/>
        <scheme val="minor"/>
      </rPr>
      <t>13.5*sin(&lt;Ideal)</t>
    </r>
  </si>
  <si>
    <r>
      <t xml:space="preserve">Current Camera Run (AG'                                          </t>
    </r>
    <r>
      <rPr>
        <b/>
        <sz val="12"/>
        <color rgb="FF00B050"/>
        <rFont val="Calibri"/>
        <family val="2"/>
        <scheme val="minor"/>
      </rPr>
      <t>13.5*cos(&lt;ideal)</t>
    </r>
  </si>
  <si>
    <r>
      <t xml:space="preserve">Rise from Camera to Target (DF')                                      </t>
    </r>
    <r>
      <rPr>
        <b/>
        <sz val="12"/>
        <color rgb="FF00B050"/>
        <rFont val="Calibri"/>
        <family val="2"/>
        <scheme val="minor"/>
      </rPr>
      <t xml:space="preserve"> Tgt Ht - EG</t>
    </r>
  </si>
  <si>
    <r>
      <t xml:space="preserve">Run from Camera to Target (EF')             </t>
    </r>
    <r>
      <rPr>
        <b/>
        <sz val="12"/>
        <color rgb="FF00B050"/>
        <rFont val="Calibri"/>
        <family val="2"/>
        <scheme val="minor"/>
      </rPr>
      <t xml:space="preserve"> DF' / tan(&lt;GAE' + &lt;DEC)</t>
    </r>
  </si>
  <si>
    <t>&lt;GAE</t>
  </si>
  <si>
    <t>&lt;GAE'</t>
  </si>
  <si>
    <r>
      <t xml:space="preserve">Angle (&lt;FED) Camera angle to target from Level   </t>
    </r>
    <r>
      <rPr>
        <b/>
        <sz val="12"/>
        <color rgb="FF00B050"/>
        <rFont val="Calibri"/>
        <family val="2"/>
        <scheme val="minor"/>
      </rPr>
      <t xml:space="preserve">  atan(DF'/EF')</t>
    </r>
  </si>
  <si>
    <t>&lt;FED'</t>
  </si>
  <si>
    <r>
      <t xml:space="preserve">Corrected Y target Angle                                    </t>
    </r>
    <r>
      <rPr>
        <b/>
        <sz val="12"/>
        <color rgb="FF00B050"/>
        <rFont val="Calibri"/>
        <family val="2"/>
        <scheme val="minor"/>
      </rPr>
      <t>&lt;CED + Error Y Align</t>
    </r>
  </si>
  <si>
    <t>&lt;CED</t>
  </si>
  <si>
    <r>
      <t xml:space="preserve">Run from Camera to Target (EF)                 </t>
    </r>
    <r>
      <rPr>
        <b/>
        <sz val="12"/>
        <color rgb="FF00B050"/>
        <rFont val="Calibri"/>
        <family val="2"/>
        <scheme val="minor"/>
      </rPr>
      <t xml:space="preserve"> DF / tan(&lt;GAE + &lt;CED)</t>
    </r>
  </si>
  <si>
    <r>
      <t xml:space="preserve">Angle (&lt;CED)                                                                     </t>
    </r>
    <r>
      <rPr>
        <b/>
        <sz val="12"/>
        <color rgb="FF00B050"/>
        <rFont val="Calibri"/>
        <family val="2"/>
        <scheme val="minor"/>
      </rPr>
      <t xml:space="preserve">   &lt;FED' - &lt;GAE'</t>
    </r>
  </si>
  <si>
    <r>
      <t xml:space="preserve">Y offset angle + &lt;CED                                  </t>
    </r>
    <r>
      <rPr>
        <b/>
        <sz val="12"/>
        <color rgb="FF00B050"/>
        <rFont val="Calibri"/>
        <family val="2"/>
        <scheme val="minor"/>
      </rPr>
      <t xml:space="preserve"> &lt;CED' - Y Alignmet Error</t>
    </r>
  </si>
  <si>
    <r>
      <t xml:space="preserve">Y Target Angle before Adjustment                     </t>
    </r>
    <r>
      <rPr>
        <b/>
        <sz val="12"/>
        <color rgb="FF00B050"/>
        <rFont val="Calibri"/>
        <family val="2"/>
        <scheme val="minor"/>
      </rPr>
      <t>Pixel Delta * 0.102</t>
    </r>
  </si>
  <si>
    <t>&lt;CED'</t>
  </si>
  <si>
    <t>BC'</t>
  </si>
  <si>
    <r>
      <t xml:space="preserve">Run to Target For Ideal Lift Angle Calc.                       </t>
    </r>
    <r>
      <rPr>
        <b/>
        <sz val="12"/>
        <color rgb="FF00B050"/>
        <rFont val="Calibri"/>
        <family val="2"/>
        <scheme val="minor"/>
      </rPr>
      <t xml:space="preserve"> (AB-13.5)/12</t>
    </r>
  </si>
  <si>
    <r>
      <t xml:space="preserve">Y Shooter Pixel Cnt for angle   &lt;CED                 </t>
    </r>
    <r>
      <rPr>
        <b/>
        <sz val="12"/>
        <color rgb="FF00B050"/>
        <rFont val="Calibri"/>
        <family val="2"/>
        <scheme val="minor"/>
      </rPr>
      <t>&lt;CED / 0.10234375</t>
    </r>
  </si>
  <si>
    <r>
      <t xml:space="preserve"> Y Axis Ctr of Shooter Position                    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2"/>
        <color rgb="FF00B050"/>
        <rFont val="Calibri"/>
        <family val="2"/>
        <scheme val="minor"/>
      </rPr>
      <t xml:space="preserve"> Y-ImgCtr + BC'</t>
    </r>
  </si>
  <si>
    <r>
      <t xml:space="preserve">X Axis Ctr of Shooter Position           </t>
    </r>
    <r>
      <rPr>
        <b/>
        <sz val="12"/>
        <color rgb="FF00B050"/>
        <rFont val="Calibri"/>
        <family val="2"/>
        <scheme val="minor"/>
      </rPr>
      <t xml:space="preserve"> X-ImgCtr + FG</t>
    </r>
  </si>
  <si>
    <r>
      <t xml:space="preserve">X Shooter Pixel Cnt for angle  &lt;FCG    </t>
    </r>
    <r>
      <rPr>
        <b/>
        <sz val="12"/>
        <color rgb="FF00B050"/>
        <rFont val="Calibri"/>
        <family val="2"/>
        <scheme val="minor"/>
      </rPr>
      <t>&lt;FCG / 0.10234375</t>
    </r>
  </si>
  <si>
    <r>
      <t xml:space="preserve">Angle at distance for 8.6 offset from camera     </t>
    </r>
    <r>
      <rPr>
        <b/>
        <sz val="11"/>
        <color rgb="FF00B050"/>
        <rFont val="Calibri"/>
        <family val="2"/>
        <scheme val="minor"/>
      </rPr>
      <t xml:space="preserve"> atan(8.6/DG)</t>
    </r>
  </si>
  <si>
    <r>
      <t xml:space="preserve">Run to target from camera                                              </t>
    </r>
    <r>
      <rPr>
        <b/>
        <sz val="11"/>
        <color rgb="FF00B050"/>
        <rFont val="Calibri"/>
        <family val="2"/>
        <scheme val="minor"/>
      </rPr>
      <t xml:space="preserve"> AB - AD</t>
    </r>
  </si>
  <si>
    <t>BD</t>
  </si>
  <si>
    <r>
      <t xml:space="preserve">Opt. Test Angle (&lt;GAE) for Iaser Ptr.    </t>
    </r>
    <r>
      <rPr>
        <b/>
        <sz val="11"/>
        <color rgb="FF00B050"/>
        <rFont val="Calibri"/>
        <family val="2"/>
        <scheme val="minor"/>
      </rPr>
      <t>atan((BD-3.375)/AB)</t>
    </r>
  </si>
  <si>
    <t xml:space="preserve">   *    Robot camera X Axis ctr pointed not 8.75 inches left of Target ctr  but 10.5 inches. This equated at 8 feet to -1.04434 degrees error in alignment</t>
  </si>
  <si>
    <t xml:space="preserve">   **  Robot camera Y Axis ctr pointed not 3.375 inches below Target ctr  but 5 inches. This equated at 8 feet to -0.96976 degrees error in alignment</t>
  </si>
  <si>
    <t xml:space="preserve">   **  Test bed camera Y Axis ctr pointed at 3.375 inches below Target ctr . This equated at 8 feet to 0.0 degrees error in alignment</t>
  </si>
  <si>
    <r>
      <t xml:space="preserve">Y Target Pixels Delta                                               </t>
    </r>
    <r>
      <rPr>
        <b/>
        <sz val="12"/>
        <color rgb="FF00B050"/>
        <rFont val="Calibri"/>
        <family val="2"/>
        <scheme val="minor"/>
      </rPr>
      <t xml:space="preserve"> Tgt Ypos - ImgCtrY</t>
    </r>
  </si>
  <si>
    <r>
      <t xml:space="preserve">Temp Length of Segment AD          </t>
    </r>
    <r>
      <rPr>
        <b/>
        <sz val="12"/>
        <color rgb="FF00B050"/>
        <rFont val="Calibri"/>
        <family val="2"/>
        <scheme val="minor"/>
      </rPr>
      <t xml:space="preserve">     13.5*cos(Lift Angle)</t>
    </r>
  </si>
  <si>
    <r>
      <t xml:space="preserve">Temp Length of Segment DC                                       </t>
    </r>
    <r>
      <rPr>
        <b/>
        <sz val="12"/>
        <color rgb="FF00B050"/>
        <rFont val="Calibri"/>
        <family val="2"/>
        <scheme val="minor"/>
      </rPr>
      <t xml:space="preserve">    fixed</t>
    </r>
  </si>
  <si>
    <r>
      <t xml:space="preserve">Temp Length of Segment AC               </t>
    </r>
    <r>
      <rPr>
        <b/>
        <sz val="12"/>
        <color rgb="FF00B050"/>
        <rFont val="Calibri"/>
        <family val="2"/>
        <scheme val="minor"/>
      </rPr>
      <t xml:space="preserve">     sqrt(AD^2+DC^2)</t>
    </r>
  </si>
  <si>
    <r>
      <t xml:space="preserve">Temp Angle &lt;ACD                                                </t>
    </r>
    <r>
      <rPr>
        <b/>
        <sz val="12"/>
        <color rgb="FF00B050"/>
        <rFont val="Calibri"/>
        <family val="2"/>
        <scheme val="minor"/>
      </rPr>
      <t xml:space="preserve"> atan(AD/DC)</t>
    </r>
  </si>
  <si>
    <r>
      <t xml:space="preserve">Temp Angle &lt;ACE                                         </t>
    </r>
    <r>
      <rPr>
        <b/>
        <sz val="12"/>
        <color rgb="FF00B050"/>
        <rFont val="Calibri"/>
        <family val="2"/>
        <scheme val="minor"/>
      </rPr>
      <t>90 + &lt;FCB - &lt;ACD</t>
    </r>
  </si>
  <si>
    <r>
      <t xml:space="preserve">Temp Length of Segment AE                      </t>
    </r>
    <r>
      <rPr>
        <b/>
        <sz val="12"/>
        <color rgb="FF00B050"/>
        <rFont val="Calibri"/>
        <family val="2"/>
        <scheme val="minor"/>
      </rPr>
      <t xml:space="preserve">   AC*(sin(&lt;ACE))</t>
    </r>
  </si>
  <si>
    <r>
      <t xml:space="preserve">Temp Angle &lt;EAB                                               </t>
    </r>
    <r>
      <rPr>
        <b/>
        <sz val="12"/>
        <color rgb="FF00B050"/>
        <rFont val="Calibri"/>
        <family val="2"/>
        <scheme val="minor"/>
      </rPr>
      <t xml:space="preserve">  acos(AE / AB)</t>
    </r>
  </si>
  <si>
    <r>
      <t>Final Turn Angle &lt;DAB</t>
    </r>
    <r>
      <rPr>
        <b/>
        <sz val="14"/>
        <color rgb="FF00B050"/>
        <rFont val="Calibri"/>
        <family val="2"/>
        <scheme val="minor"/>
      </rPr>
      <t xml:space="preserve">       </t>
    </r>
    <r>
      <rPr>
        <b/>
        <sz val="11"/>
        <color rgb="FF00B050"/>
        <rFont val="Calibri"/>
        <family val="2"/>
        <scheme val="minor"/>
      </rPr>
      <t xml:space="preserve"> &lt;EAB-(90-&lt;ACE)-(90-&lt;ACD)</t>
    </r>
  </si>
  <si>
    <r>
      <t xml:space="preserve">Final Heading   </t>
    </r>
    <r>
      <rPr>
        <b/>
        <sz val="11"/>
        <rFont val="Calibri"/>
        <family val="2"/>
        <scheme val="minor"/>
      </rPr>
      <t xml:space="preserve">                                          </t>
    </r>
    <r>
      <rPr>
        <b/>
        <sz val="11"/>
        <color rgb="FF00B050"/>
        <rFont val="Calibri"/>
        <family val="2"/>
        <scheme val="minor"/>
      </rPr>
      <t xml:space="preserve">   &lt;DAB + CurrHdg</t>
    </r>
  </si>
  <si>
    <t xml:space="preserve">   *    Test bed camera X Axis ctr pointed not 8.75 inches left of Target ctr  but 13.5 inches. This equated at 8 feet to -3.42768 degrees error in alignment</t>
  </si>
  <si>
    <t>ABft</t>
  </si>
  <si>
    <t>*** (( 0.23 * (Abft ^ 2 )) - ( 5.995 * ABft ) + 82.685)</t>
  </si>
  <si>
    <r>
      <t xml:space="preserve">Angle (&lt;GAE) Ideal angle                                             </t>
    </r>
    <r>
      <rPr>
        <b/>
        <sz val="11"/>
        <color rgb="FF00B050"/>
        <rFont val="Calibri"/>
        <family val="2"/>
        <scheme val="minor"/>
      </rPr>
      <t>see ***</t>
    </r>
  </si>
  <si>
    <r>
      <t xml:space="preserve">Run to Target from Hinge (AB)                                           </t>
    </r>
    <r>
      <rPr>
        <b/>
        <sz val="12"/>
        <color rgb="FF00B050"/>
        <rFont val="Calibri"/>
        <family val="2"/>
        <scheme val="minor"/>
      </rPr>
      <t xml:space="preserve">  AG + EF</t>
    </r>
  </si>
  <si>
    <t>Real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</si>
</sst>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6" fontId="1" fillId="0" borderId="0" xfId="0" applyNumberFormat="1" applyFont="1"/>
    <xf numFmtId="0" fontId="4" fillId="2" borderId="0" xfId="0" applyFont="1" applyFill="1"/>
    <xf numFmtId="0" fontId="2" fillId="2" borderId="0" xfId="0" applyFont="1" applyFill="1"/>
    <xf numFmtId="0" fontId="0" fillId="2" borderId="0" xfId="0" applyFill="1"/>
    <xf numFmtId="166" fontId="1" fillId="2" borderId="0" xfId="0" applyNumberFormat="1" applyFont="1" applyFill="1"/>
    <xf numFmtId="167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3" fillId="3" borderId="0" xfId="0" applyFont="1" applyFill="1"/>
    <xf numFmtId="2" fontId="3" fillId="0" borderId="0" xfId="0" applyNumberFormat="1" applyFont="1"/>
    <xf numFmtId="0" fontId="3" fillId="0" borderId="0" xfId="0" applyFont="1" applyAlignment="1">
      <alignment horizontal="right"/>
    </xf>
    <xf numFmtId="1" fontId="3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1" fillId="5" borderId="0" xfId="0" applyFont="1" applyFill="1"/>
    <xf numFmtId="0" fontId="0" fillId="5" borderId="0" xfId="0" applyFill="1"/>
    <xf numFmtId="0" fontId="6" fillId="0" borderId="0" xfId="0" applyFont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1" fillId="0" borderId="0" xfId="0" applyFont="1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14" fillId="0" borderId="0" xfId="0" applyFont="1"/>
    <xf numFmtId="0" fontId="3" fillId="0" borderId="0" xfId="0" applyFont="1" applyFill="1"/>
    <xf numFmtId="0" fontId="3" fillId="7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F13" sqref="F13"/>
    </sheetView>
  </sheetViews>
  <sheetFormatPr defaultRowHeight="14.5" x14ac:dyDescent="0.35"/>
  <cols>
    <col min="1" max="1" width="11.6328125" customWidth="1"/>
    <col min="3" max="3" width="5.26953125" customWidth="1"/>
    <col min="6" max="6" width="4.1796875" customWidth="1"/>
    <col min="7" max="7" width="9.54296875" customWidth="1"/>
    <col min="8" max="8" width="10.81640625" customWidth="1"/>
    <col min="11" max="11" width="4" customWidth="1"/>
    <col min="14" max="14" width="5.26953125" customWidth="1"/>
  </cols>
  <sheetData>
    <row r="1" spans="1:16" x14ac:dyDescent="0.35">
      <c r="A1" t="s">
        <v>0</v>
      </c>
      <c r="B1">
        <v>160</v>
      </c>
      <c r="D1" t="s">
        <v>1</v>
      </c>
      <c r="E1">
        <v>120</v>
      </c>
      <c r="G1" t="s">
        <v>2</v>
      </c>
      <c r="H1">
        <v>6.1079999999999997E-3</v>
      </c>
      <c r="L1" t="s">
        <v>3</v>
      </c>
      <c r="M1">
        <v>0.200543</v>
      </c>
    </row>
    <row r="2" spans="1:16" x14ac:dyDescent="0.35">
      <c r="C2" s="2"/>
      <c r="G2" s="2"/>
      <c r="H2" s="2"/>
    </row>
    <row r="3" spans="1:16" x14ac:dyDescent="0.35">
      <c r="A3" s="2" t="s">
        <v>15</v>
      </c>
      <c r="B3" s="2"/>
      <c r="C3" s="1"/>
      <c r="D3" t="s">
        <v>20</v>
      </c>
      <c r="G3" s="1" t="s">
        <v>21</v>
      </c>
      <c r="H3" s="1"/>
      <c r="I3" t="s">
        <v>6</v>
      </c>
      <c r="L3" t="s">
        <v>12</v>
      </c>
      <c r="O3" t="s">
        <v>9</v>
      </c>
    </row>
    <row r="4" spans="1:16" x14ac:dyDescent="0.35">
      <c r="A4" s="1" t="s">
        <v>4</v>
      </c>
      <c r="B4" s="1" t="s">
        <v>5</v>
      </c>
      <c r="D4" t="s">
        <v>18</v>
      </c>
      <c r="E4" t="s">
        <v>19</v>
      </c>
      <c r="G4" t="s">
        <v>16</v>
      </c>
      <c r="H4" t="s">
        <v>17</v>
      </c>
      <c r="I4" t="s">
        <v>7</v>
      </c>
      <c r="J4" t="s">
        <v>8</v>
      </c>
      <c r="L4" t="s">
        <v>13</v>
      </c>
      <c r="M4" t="s">
        <v>14</v>
      </c>
      <c r="O4" t="s">
        <v>10</v>
      </c>
      <c r="P4" t="s">
        <v>11</v>
      </c>
    </row>
    <row r="6" spans="1:16" x14ac:dyDescent="0.35">
      <c r="A6">
        <v>0</v>
      </c>
      <c r="B6">
        <v>0</v>
      </c>
      <c r="D6">
        <v>0</v>
      </c>
      <c r="E6">
        <v>0</v>
      </c>
      <c r="G6">
        <f>+A6-D6</f>
        <v>0</v>
      </c>
      <c r="H6">
        <f>+B6-E6</f>
        <v>0</v>
      </c>
      <c r="I6" s="3">
        <f>0.5-(G6*$H$1)</f>
        <v>0.5</v>
      </c>
      <c r="J6" s="3">
        <f>0.5-(H6*$H$1)</f>
        <v>0.5</v>
      </c>
      <c r="L6">
        <f>+G6</f>
        <v>0</v>
      </c>
      <c r="M6">
        <f>+H6</f>
        <v>0</v>
      </c>
      <c r="O6" s="4">
        <f>+L6/$M$1+$B$1</f>
        <v>160</v>
      </c>
      <c r="P6" s="4">
        <f>+M6/$M$1+$E$1</f>
        <v>120</v>
      </c>
    </row>
    <row r="7" spans="1:16" x14ac:dyDescent="0.35">
      <c r="A7">
        <v>15</v>
      </c>
      <c r="B7">
        <v>15</v>
      </c>
      <c r="D7">
        <v>0</v>
      </c>
      <c r="E7">
        <v>0</v>
      </c>
      <c r="G7">
        <f t="shared" ref="G7:G10" si="0">+A7-D7</f>
        <v>15</v>
      </c>
      <c r="H7">
        <f t="shared" ref="H7:H10" si="1">+B7-E7</f>
        <v>15</v>
      </c>
      <c r="I7" s="3">
        <f t="shared" ref="I7:I10" si="2">0.5-(G7*$H$1)</f>
        <v>0.40838000000000002</v>
      </c>
      <c r="J7" s="3">
        <f t="shared" ref="J7:J10" si="3">0.5-(H7*$H$1)</f>
        <v>0.40838000000000002</v>
      </c>
      <c r="L7">
        <f t="shared" ref="L7:L10" si="4">+G7</f>
        <v>15</v>
      </c>
      <c r="M7">
        <f t="shared" ref="M7:M10" si="5">+H7</f>
        <v>15</v>
      </c>
      <c r="O7" s="4">
        <f t="shared" ref="O7:O10" si="6">+L7/$M$1+$B$1</f>
        <v>234.7969263449734</v>
      </c>
      <c r="P7" s="4">
        <f t="shared" ref="P7:P10" si="7">+M7/$M$1+$E$1</f>
        <v>194.7969263449734</v>
      </c>
    </row>
    <row r="8" spans="1:16" x14ac:dyDescent="0.35">
      <c r="A8">
        <v>-15</v>
      </c>
      <c r="B8">
        <v>15</v>
      </c>
      <c r="D8">
        <v>0</v>
      </c>
      <c r="E8">
        <v>0</v>
      </c>
      <c r="G8">
        <f t="shared" si="0"/>
        <v>-15</v>
      </c>
      <c r="H8">
        <f t="shared" si="1"/>
        <v>15</v>
      </c>
      <c r="I8" s="3">
        <f t="shared" si="2"/>
        <v>0.59162000000000003</v>
      </c>
      <c r="J8" s="3">
        <f t="shared" si="3"/>
        <v>0.40838000000000002</v>
      </c>
      <c r="L8">
        <f t="shared" si="4"/>
        <v>-15</v>
      </c>
      <c r="M8">
        <f t="shared" si="5"/>
        <v>15</v>
      </c>
      <c r="O8" s="4">
        <f t="shared" si="6"/>
        <v>85.2030736550266</v>
      </c>
      <c r="P8" s="4">
        <f t="shared" si="7"/>
        <v>194.7969263449734</v>
      </c>
    </row>
    <row r="9" spans="1:16" x14ac:dyDescent="0.35">
      <c r="A9">
        <v>-15</v>
      </c>
      <c r="B9">
        <v>-15</v>
      </c>
      <c r="D9">
        <v>0</v>
      </c>
      <c r="E9">
        <v>0</v>
      </c>
      <c r="G9">
        <f t="shared" si="0"/>
        <v>-15</v>
      </c>
      <c r="H9">
        <f t="shared" si="1"/>
        <v>-15</v>
      </c>
      <c r="I9" s="3">
        <f t="shared" si="2"/>
        <v>0.59162000000000003</v>
      </c>
      <c r="J9" s="3">
        <f t="shared" si="3"/>
        <v>0.59162000000000003</v>
      </c>
      <c r="L9">
        <f t="shared" si="4"/>
        <v>-15</v>
      </c>
      <c r="M9">
        <f t="shared" si="5"/>
        <v>-15</v>
      </c>
      <c r="O9" s="4">
        <f t="shared" si="6"/>
        <v>85.2030736550266</v>
      </c>
      <c r="P9" s="4">
        <f t="shared" si="7"/>
        <v>45.2030736550266</v>
      </c>
    </row>
    <row r="10" spans="1:16" x14ac:dyDescent="0.35">
      <c r="A10">
        <v>15</v>
      </c>
      <c r="B10">
        <v>-15</v>
      </c>
      <c r="D10">
        <v>0</v>
      </c>
      <c r="E10">
        <v>0</v>
      </c>
      <c r="G10">
        <f t="shared" si="0"/>
        <v>15</v>
      </c>
      <c r="H10">
        <f t="shared" si="1"/>
        <v>-15</v>
      </c>
      <c r="I10" s="3">
        <f t="shared" si="2"/>
        <v>0.40838000000000002</v>
      </c>
      <c r="J10" s="3">
        <f t="shared" si="3"/>
        <v>0.59162000000000003</v>
      </c>
      <c r="L10">
        <f t="shared" si="4"/>
        <v>15</v>
      </c>
      <c r="M10">
        <f t="shared" si="5"/>
        <v>-15</v>
      </c>
      <c r="O10" s="4">
        <f t="shared" si="6"/>
        <v>234.7969263449734</v>
      </c>
      <c r="P10" s="4">
        <f t="shared" si="7"/>
        <v>45.2030736550266</v>
      </c>
    </row>
    <row r="12" spans="1:16" x14ac:dyDescent="0.35">
      <c r="A12">
        <v>0</v>
      </c>
      <c r="B12">
        <v>0</v>
      </c>
      <c r="D12">
        <v>20.465</v>
      </c>
      <c r="E12">
        <v>20.465</v>
      </c>
      <c r="G12">
        <f>+A12-D12</f>
        <v>-20.465</v>
      </c>
      <c r="H12">
        <f>+B12-E12</f>
        <v>-20.465</v>
      </c>
      <c r="I12" s="3">
        <f t="shared" ref="I12:I16" si="8">0.5-(G12*$H$1)</f>
        <v>0.62500022</v>
      </c>
      <c r="J12" s="3">
        <f t="shared" ref="J12:J16" si="9">0.5-(H12*$H$1)</f>
        <v>0.62500022</v>
      </c>
      <c r="L12">
        <f t="shared" ref="L12:L16" si="10">+G12</f>
        <v>-20.465</v>
      </c>
      <c r="M12">
        <f t="shared" ref="M12:M16" si="11">+H12</f>
        <v>-20.465</v>
      </c>
      <c r="O12" s="4">
        <f t="shared" ref="O12:O16" si="12">+L12/$M$1+$B$1</f>
        <v>57.952060156674634</v>
      </c>
      <c r="P12" s="4">
        <f t="shared" ref="P12:P16" si="13">+M12/$M$1+$E$1</f>
        <v>17.952060156674634</v>
      </c>
    </row>
    <row r="13" spans="1:16" x14ac:dyDescent="0.35">
      <c r="A13">
        <v>15</v>
      </c>
      <c r="B13">
        <v>15</v>
      </c>
      <c r="D13">
        <v>20.465</v>
      </c>
      <c r="E13">
        <v>20.465</v>
      </c>
      <c r="G13">
        <f t="shared" ref="G13:G16" si="14">+A13-D13</f>
        <v>-5.4649999999999999</v>
      </c>
      <c r="H13">
        <f t="shared" ref="H13:H16" si="15">+B13-E13</f>
        <v>-5.4649999999999999</v>
      </c>
      <c r="I13" s="3">
        <f t="shared" si="8"/>
        <v>0.53338021999999996</v>
      </c>
      <c r="J13" s="3">
        <f t="shared" si="9"/>
        <v>0.53338021999999996</v>
      </c>
      <c r="L13">
        <f t="shared" si="10"/>
        <v>-5.4649999999999999</v>
      </c>
      <c r="M13">
        <f t="shared" si="11"/>
        <v>-5.4649999999999999</v>
      </c>
      <c r="O13" s="4">
        <f t="shared" si="12"/>
        <v>132.74898650164803</v>
      </c>
      <c r="P13" s="4">
        <f t="shared" si="13"/>
        <v>92.748986501648034</v>
      </c>
    </row>
    <row r="14" spans="1:16" x14ac:dyDescent="0.35">
      <c r="A14">
        <v>-15</v>
      </c>
      <c r="B14">
        <v>15</v>
      </c>
      <c r="D14">
        <v>20.465</v>
      </c>
      <c r="E14">
        <v>20.465</v>
      </c>
      <c r="G14">
        <f t="shared" si="14"/>
        <v>-35.465000000000003</v>
      </c>
      <c r="H14">
        <f t="shared" si="15"/>
        <v>-5.4649999999999999</v>
      </c>
      <c r="I14" s="3">
        <f t="shared" si="8"/>
        <v>0.71662022000000003</v>
      </c>
      <c r="J14" s="3">
        <f t="shared" si="9"/>
        <v>0.53338021999999996</v>
      </c>
      <c r="L14">
        <f t="shared" si="10"/>
        <v>-35.465000000000003</v>
      </c>
      <c r="M14">
        <f t="shared" si="11"/>
        <v>-5.4649999999999999</v>
      </c>
      <c r="O14" s="4">
        <f t="shared" si="12"/>
        <v>-16.844866188298795</v>
      </c>
      <c r="P14" s="4">
        <f t="shared" si="13"/>
        <v>92.748986501648034</v>
      </c>
    </row>
    <row r="15" spans="1:16" x14ac:dyDescent="0.35">
      <c r="A15">
        <v>-15</v>
      </c>
      <c r="B15">
        <v>-15</v>
      </c>
      <c r="D15">
        <v>20.465</v>
      </c>
      <c r="E15">
        <v>20.465</v>
      </c>
      <c r="G15">
        <f t="shared" si="14"/>
        <v>-35.465000000000003</v>
      </c>
      <c r="H15">
        <f t="shared" si="15"/>
        <v>-35.465000000000003</v>
      </c>
      <c r="I15" s="3">
        <f t="shared" si="8"/>
        <v>0.71662022000000003</v>
      </c>
      <c r="J15" s="3">
        <f t="shared" si="9"/>
        <v>0.71662022000000003</v>
      </c>
      <c r="L15">
        <f t="shared" si="10"/>
        <v>-35.465000000000003</v>
      </c>
      <c r="M15">
        <f t="shared" si="11"/>
        <v>-35.465000000000003</v>
      </c>
      <c r="O15" s="4">
        <f t="shared" si="12"/>
        <v>-16.844866188298795</v>
      </c>
      <c r="P15" s="4">
        <f t="shared" si="13"/>
        <v>-56.844866188298795</v>
      </c>
    </row>
    <row r="16" spans="1:16" x14ac:dyDescent="0.35">
      <c r="A16">
        <v>15</v>
      </c>
      <c r="B16">
        <v>-15</v>
      </c>
      <c r="D16">
        <v>20.465</v>
      </c>
      <c r="E16">
        <v>20.465</v>
      </c>
      <c r="G16">
        <f t="shared" si="14"/>
        <v>-5.4649999999999999</v>
      </c>
      <c r="H16">
        <f t="shared" si="15"/>
        <v>-35.465000000000003</v>
      </c>
      <c r="I16" s="3">
        <f t="shared" si="8"/>
        <v>0.53338021999999996</v>
      </c>
      <c r="J16" s="3">
        <f t="shared" si="9"/>
        <v>0.71662022000000003</v>
      </c>
      <c r="L16">
        <f t="shared" si="10"/>
        <v>-5.4649999999999999</v>
      </c>
      <c r="M16">
        <f t="shared" si="11"/>
        <v>-35.465000000000003</v>
      </c>
      <c r="O16" s="4">
        <f t="shared" si="12"/>
        <v>132.74898650164803</v>
      </c>
      <c r="P16" s="4">
        <f t="shared" si="13"/>
        <v>-56.844866188298795</v>
      </c>
    </row>
    <row r="18" spans="1:16" x14ac:dyDescent="0.35">
      <c r="A18">
        <v>0</v>
      </c>
      <c r="B18">
        <v>0</v>
      </c>
      <c r="D18">
        <v>-20.465</v>
      </c>
      <c r="E18">
        <v>13.536</v>
      </c>
      <c r="G18">
        <f>+A18-D18</f>
        <v>20.465</v>
      </c>
      <c r="H18">
        <f>+B18-E18</f>
        <v>-13.536</v>
      </c>
      <c r="I18" s="3">
        <f>0.5-(G18*$H$1)</f>
        <v>0.37499978</v>
      </c>
      <c r="J18" s="3">
        <f>0.5-(H18*$H$1)</f>
        <v>0.58267788799999998</v>
      </c>
      <c r="L18">
        <f t="shared" ref="L18:L22" si="16">+G18</f>
        <v>20.465</v>
      </c>
      <c r="M18">
        <f t="shared" ref="M18:M22" si="17">+H18</f>
        <v>-13.536</v>
      </c>
      <c r="O18" s="4">
        <f t="shared" ref="O18:O22" si="18">+L18/$M$1+$B$1</f>
        <v>262.04793984332537</v>
      </c>
      <c r="P18" s="4">
        <f t="shared" ref="P18:P22" si="19">+M18/$M$1+$E$1</f>
        <v>52.503253666296004</v>
      </c>
    </row>
    <row r="19" spans="1:16" x14ac:dyDescent="0.35">
      <c r="A19">
        <v>15</v>
      </c>
      <c r="B19">
        <v>15</v>
      </c>
      <c r="D19">
        <v>-20.465</v>
      </c>
      <c r="E19">
        <v>13.536</v>
      </c>
      <c r="G19">
        <f t="shared" ref="G19:G22" si="20">+A19-D19</f>
        <v>35.465000000000003</v>
      </c>
      <c r="H19">
        <f t="shared" ref="H19:H22" si="21">+B19-E19</f>
        <v>1.4640000000000004</v>
      </c>
      <c r="I19" s="3">
        <f t="shared" ref="I19:I22" si="22">0.5-(G19*$H$1)</f>
        <v>0.28337977999999997</v>
      </c>
      <c r="J19" s="3">
        <f t="shared" ref="J19:J22" si="23">0.5-(H19*$H$1)</f>
        <v>0.491057888</v>
      </c>
      <c r="L19">
        <f t="shared" si="16"/>
        <v>35.465000000000003</v>
      </c>
      <c r="M19">
        <f t="shared" si="17"/>
        <v>1.4640000000000004</v>
      </c>
      <c r="O19" s="4">
        <f t="shared" si="18"/>
        <v>336.84486618829879</v>
      </c>
      <c r="P19" s="4">
        <f t="shared" si="19"/>
        <v>127.3001800112694</v>
      </c>
    </row>
    <row r="20" spans="1:16" x14ac:dyDescent="0.35">
      <c r="A20">
        <v>-15</v>
      </c>
      <c r="B20">
        <v>15</v>
      </c>
      <c r="D20">
        <v>-20.465</v>
      </c>
      <c r="E20">
        <v>13.536</v>
      </c>
      <c r="G20">
        <f t="shared" si="20"/>
        <v>5.4649999999999999</v>
      </c>
      <c r="H20">
        <f t="shared" si="21"/>
        <v>1.4640000000000004</v>
      </c>
      <c r="I20" s="3">
        <f t="shared" si="22"/>
        <v>0.46661977999999998</v>
      </c>
      <c r="J20" s="3">
        <f t="shared" si="23"/>
        <v>0.491057888</v>
      </c>
      <c r="L20">
        <f t="shared" si="16"/>
        <v>5.4649999999999999</v>
      </c>
      <c r="M20">
        <f t="shared" si="17"/>
        <v>1.4640000000000004</v>
      </c>
      <c r="O20" s="4">
        <f t="shared" si="18"/>
        <v>187.25101349835197</v>
      </c>
      <c r="P20" s="4">
        <f t="shared" si="19"/>
        <v>127.3001800112694</v>
      </c>
    </row>
    <row r="21" spans="1:16" x14ac:dyDescent="0.35">
      <c r="A21">
        <v>-15</v>
      </c>
      <c r="B21">
        <v>-15</v>
      </c>
      <c r="D21">
        <v>-20.465</v>
      </c>
      <c r="E21">
        <v>13.536</v>
      </c>
      <c r="G21">
        <f t="shared" si="20"/>
        <v>5.4649999999999999</v>
      </c>
      <c r="H21">
        <f t="shared" si="21"/>
        <v>-28.536000000000001</v>
      </c>
      <c r="I21" s="3">
        <f t="shared" si="22"/>
        <v>0.46661977999999998</v>
      </c>
      <c r="J21" s="3">
        <f t="shared" si="23"/>
        <v>0.67429788800000001</v>
      </c>
      <c r="L21">
        <f t="shared" si="16"/>
        <v>5.4649999999999999</v>
      </c>
      <c r="M21">
        <f t="shared" si="17"/>
        <v>-28.536000000000001</v>
      </c>
      <c r="O21" s="4">
        <f t="shared" si="18"/>
        <v>187.25101349835197</v>
      </c>
      <c r="P21" s="4">
        <f t="shared" si="19"/>
        <v>-22.29367267867741</v>
      </c>
    </row>
    <row r="22" spans="1:16" x14ac:dyDescent="0.35">
      <c r="A22">
        <v>15</v>
      </c>
      <c r="B22">
        <v>-15</v>
      </c>
      <c r="D22">
        <v>-20.465</v>
      </c>
      <c r="E22">
        <v>13.536</v>
      </c>
      <c r="G22">
        <f t="shared" si="20"/>
        <v>35.465000000000003</v>
      </c>
      <c r="H22">
        <f t="shared" si="21"/>
        <v>-28.536000000000001</v>
      </c>
      <c r="I22" s="3">
        <f t="shared" si="22"/>
        <v>0.28337977999999997</v>
      </c>
      <c r="J22" s="3">
        <f t="shared" si="23"/>
        <v>0.67429788800000001</v>
      </c>
      <c r="L22">
        <f t="shared" si="16"/>
        <v>35.465000000000003</v>
      </c>
      <c r="M22">
        <f t="shared" si="17"/>
        <v>-28.536000000000001</v>
      </c>
      <c r="O22" s="4">
        <f t="shared" si="18"/>
        <v>336.84486618829879</v>
      </c>
      <c r="P22" s="4">
        <f t="shared" si="19"/>
        <v>-22.29367267867741</v>
      </c>
    </row>
    <row r="24" spans="1:16" x14ac:dyDescent="0.35">
      <c r="A24">
        <v>0</v>
      </c>
      <c r="B24">
        <v>0</v>
      </c>
      <c r="D24">
        <v>-6.7149999999999999</v>
      </c>
      <c r="E24">
        <v>-5.4359999999999999</v>
      </c>
      <c r="G24">
        <f>+A24-D24</f>
        <v>6.7149999999999999</v>
      </c>
      <c r="H24">
        <f>+B24-E24</f>
        <v>5.4359999999999999</v>
      </c>
      <c r="I24" s="3">
        <f t="shared" ref="I24:I28" si="24">0.5-(G24*$H$1)</f>
        <v>0.45898477999999998</v>
      </c>
      <c r="J24" s="3">
        <f t="shared" ref="J24:J28" si="25">0.5-(H24*$H$1)</f>
        <v>0.46679691200000001</v>
      </c>
      <c r="L24">
        <f t="shared" ref="L24:L28" si="26">+G24</f>
        <v>6.7149999999999999</v>
      </c>
      <c r="M24">
        <f t="shared" ref="M24:M28" si="27">+H24</f>
        <v>5.4359999999999999</v>
      </c>
      <c r="O24" s="4">
        <f t="shared" ref="O24:O28" si="28">+L24/$M$1+$B$1</f>
        <v>193.48409069376643</v>
      </c>
      <c r="P24" s="4">
        <f t="shared" ref="P24:P28" si="29">+M24/$M$1+$E$1</f>
        <v>147.10640610741837</v>
      </c>
    </row>
    <row r="25" spans="1:16" x14ac:dyDescent="0.35">
      <c r="A25">
        <v>15</v>
      </c>
      <c r="B25">
        <v>15</v>
      </c>
      <c r="D25">
        <v>-6.7149999999999999</v>
      </c>
      <c r="E25">
        <v>-5.4359999999999999</v>
      </c>
      <c r="G25">
        <f t="shared" ref="G25:G28" si="30">+A25-D25</f>
        <v>21.715</v>
      </c>
      <c r="H25">
        <f t="shared" ref="H25:H28" si="31">+B25-E25</f>
        <v>20.436</v>
      </c>
      <c r="I25" s="3">
        <f t="shared" si="24"/>
        <v>0.36736478</v>
      </c>
      <c r="J25" s="3">
        <f t="shared" si="25"/>
        <v>0.37517691200000003</v>
      </c>
      <c r="L25">
        <f t="shared" si="26"/>
        <v>21.715</v>
      </c>
      <c r="M25">
        <f t="shared" si="27"/>
        <v>20.436</v>
      </c>
      <c r="O25" s="4">
        <f t="shared" si="28"/>
        <v>268.28101703873983</v>
      </c>
      <c r="P25" s="4">
        <f t="shared" si="29"/>
        <v>221.90333245239174</v>
      </c>
    </row>
    <row r="26" spans="1:16" x14ac:dyDescent="0.35">
      <c r="A26">
        <v>-15</v>
      </c>
      <c r="B26">
        <v>15</v>
      </c>
      <c r="D26">
        <v>-6.7149999999999999</v>
      </c>
      <c r="E26">
        <v>-5.4359999999999999</v>
      </c>
      <c r="G26">
        <f t="shared" si="30"/>
        <v>-8.2850000000000001</v>
      </c>
      <c r="H26">
        <f t="shared" si="31"/>
        <v>20.436</v>
      </c>
      <c r="I26" s="3">
        <f t="shared" si="24"/>
        <v>0.55060478000000002</v>
      </c>
      <c r="J26" s="3">
        <f t="shared" si="25"/>
        <v>0.37517691200000003</v>
      </c>
      <c r="L26">
        <f t="shared" si="26"/>
        <v>-8.2850000000000001</v>
      </c>
      <c r="M26">
        <f t="shared" si="27"/>
        <v>20.436</v>
      </c>
      <c r="O26" s="4">
        <f t="shared" si="28"/>
        <v>118.68716434879303</v>
      </c>
      <c r="P26" s="4">
        <f t="shared" si="29"/>
        <v>221.90333245239174</v>
      </c>
    </row>
    <row r="27" spans="1:16" x14ac:dyDescent="0.35">
      <c r="A27">
        <v>-15</v>
      </c>
      <c r="B27">
        <v>-15</v>
      </c>
      <c r="D27">
        <v>-6.7149999999999999</v>
      </c>
      <c r="E27">
        <v>-5.4359999999999999</v>
      </c>
      <c r="G27">
        <f t="shared" si="30"/>
        <v>-8.2850000000000001</v>
      </c>
      <c r="H27">
        <f t="shared" si="31"/>
        <v>-9.5640000000000001</v>
      </c>
      <c r="I27" s="3">
        <f t="shared" si="24"/>
        <v>0.55060478000000002</v>
      </c>
      <c r="J27" s="3">
        <f t="shared" si="25"/>
        <v>0.55841691199999999</v>
      </c>
      <c r="L27">
        <f t="shared" si="26"/>
        <v>-8.2850000000000001</v>
      </c>
      <c r="M27">
        <f t="shared" si="27"/>
        <v>-9.5640000000000001</v>
      </c>
      <c r="O27" s="4">
        <f t="shared" si="28"/>
        <v>118.68716434879303</v>
      </c>
      <c r="P27" s="4">
        <f t="shared" si="29"/>
        <v>72.309479762444965</v>
      </c>
    </row>
    <row r="28" spans="1:16" x14ac:dyDescent="0.35">
      <c r="A28">
        <v>15</v>
      </c>
      <c r="B28">
        <v>-15</v>
      </c>
      <c r="D28">
        <v>-6.7149999999999999</v>
      </c>
      <c r="E28">
        <v>-5.4359999999999999</v>
      </c>
      <c r="G28">
        <f t="shared" si="30"/>
        <v>21.715</v>
      </c>
      <c r="H28">
        <f t="shared" si="31"/>
        <v>-9.5640000000000001</v>
      </c>
      <c r="I28" s="3">
        <f t="shared" si="24"/>
        <v>0.36736478</v>
      </c>
      <c r="J28" s="3">
        <f t="shared" si="25"/>
        <v>0.55841691199999999</v>
      </c>
      <c r="L28">
        <f t="shared" si="26"/>
        <v>21.715</v>
      </c>
      <c r="M28">
        <f t="shared" si="27"/>
        <v>-9.5640000000000001</v>
      </c>
      <c r="O28" s="4">
        <f t="shared" si="28"/>
        <v>268.28101703873983</v>
      </c>
      <c r="P28" s="4">
        <f t="shared" si="29"/>
        <v>72.309479762444965</v>
      </c>
    </row>
    <row r="30" spans="1:16" x14ac:dyDescent="0.35">
      <c r="A30">
        <v>0</v>
      </c>
      <c r="B30">
        <v>0</v>
      </c>
      <c r="D30">
        <v>9.3460000000000001</v>
      </c>
      <c r="E30">
        <v>-5.9160000000000004</v>
      </c>
      <c r="G30">
        <f>+A30-D30</f>
        <v>-9.3460000000000001</v>
      </c>
      <c r="H30">
        <f>+B30-E30</f>
        <v>5.9160000000000004</v>
      </c>
      <c r="I30" s="3">
        <f t="shared" ref="I30:I34" si="32">0.5-(G30*$H$1)</f>
        <v>0.55708536799999997</v>
      </c>
      <c r="J30" s="3">
        <f t="shared" ref="J30:J34" si="33">0.5-(H30*$H$1)</f>
        <v>0.46386507199999999</v>
      </c>
      <c r="L30">
        <f t="shared" ref="L30:L34" si="34">+G30</f>
        <v>-9.3460000000000001</v>
      </c>
      <c r="M30">
        <f t="shared" ref="M30:M34" si="35">+H30</f>
        <v>5.9160000000000004</v>
      </c>
      <c r="O30" s="4">
        <f t="shared" ref="O30:O34" si="36">+L30/$M$1+$B$1</f>
        <v>113.39652842532524</v>
      </c>
      <c r="P30" s="4">
        <f t="shared" ref="P30:P34" si="37">+M30/$M$1+$E$1</f>
        <v>149.49990775045751</v>
      </c>
    </row>
    <row r="31" spans="1:16" x14ac:dyDescent="0.35">
      <c r="A31">
        <v>15</v>
      </c>
      <c r="B31">
        <v>15</v>
      </c>
      <c r="D31">
        <v>9.3460000000000001</v>
      </c>
      <c r="E31">
        <v>-5.9160000000000004</v>
      </c>
      <c r="G31">
        <f t="shared" ref="G31:G34" si="38">+A31-D31</f>
        <v>5.6539999999999999</v>
      </c>
      <c r="H31">
        <f t="shared" ref="H31:H34" si="39">+B31-E31</f>
        <v>20.916</v>
      </c>
      <c r="I31" s="3">
        <f t="shared" si="32"/>
        <v>0.46546536799999999</v>
      </c>
      <c r="J31" s="3">
        <f t="shared" si="33"/>
        <v>0.37224507200000001</v>
      </c>
      <c r="L31">
        <f t="shared" si="34"/>
        <v>5.6539999999999999</v>
      </c>
      <c r="M31">
        <f t="shared" si="35"/>
        <v>20.916</v>
      </c>
      <c r="O31" s="4">
        <f t="shared" si="36"/>
        <v>188.19345477029864</v>
      </c>
      <c r="P31" s="4">
        <f t="shared" si="37"/>
        <v>224.29683409543091</v>
      </c>
    </row>
    <row r="32" spans="1:16" x14ac:dyDescent="0.35">
      <c r="A32">
        <v>-15</v>
      </c>
      <c r="B32">
        <v>15</v>
      </c>
      <c r="D32">
        <v>9.3460000000000001</v>
      </c>
      <c r="E32">
        <v>-5.9160000000000004</v>
      </c>
      <c r="G32">
        <f t="shared" si="38"/>
        <v>-24.346</v>
      </c>
      <c r="H32">
        <f t="shared" si="39"/>
        <v>20.916</v>
      </c>
      <c r="I32" s="3">
        <f t="shared" si="32"/>
        <v>0.648705368</v>
      </c>
      <c r="J32" s="3">
        <f t="shared" si="33"/>
        <v>0.37224507200000001</v>
      </c>
      <c r="L32">
        <f t="shared" si="34"/>
        <v>-24.346</v>
      </c>
      <c r="M32">
        <f t="shared" si="35"/>
        <v>20.916</v>
      </c>
      <c r="O32" s="4">
        <f t="shared" si="36"/>
        <v>38.599602080351843</v>
      </c>
      <c r="P32" s="4">
        <f t="shared" si="37"/>
        <v>224.29683409543091</v>
      </c>
    </row>
    <row r="33" spans="1:16" x14ac:dyDescent="0.35">
      <c r="A33">
        <v>-15</v>
      </c>
      <c r="B33">
        <v>-15</v>
      </c>
      <c r="D33">
        <v>9.3460000000000001</v>
      </c>
      <c r="E33">
        <v>-5.9160000000000004</v>
      </c>
      <c r="G33">
        <f t="shared" si="38"/>
        <v>-24.346</v>
      </c>
      <c r="H33">
        <f t="shared" si="39"/>
        <v>-9.0839999999999996</v>
      </c>
      <c r="I33" s="3">
        <f t="shared" si="32"/>
        <v>0.648705368</v>
      </c>
      <c r="J33" s="3">
        <f t="shared" si="33"/>
        <v>0.55548507199999997</v>
      </c>
      <c r="L33">
        <f t="shared" si="34"/>
        <v>-24.346</v>
      </c>
      <c r="M33">
        <f t="shared" si="35"/>
        <v>-9.0839999999999996</v>
      </c>
      <c r="O33" s="4">
        <f t="shared" si="36"/>
        <v>38.599602080351843</v>
      </c>
      <c r="P33" s="4">
        <f t="shared" si="37"/>
        <v>74.70298140548411</v>
      </c>
    </row>
    <row r="34" spans="1:16" x14ac:dyDescent="0.35">
      <c r="A34">
        <v>15</v>
      </c>
      <c r="B34">
        <v>-15</v>
      </c>
      <c r="D34">
        <v>9.3460000000000001</v>
      </c>
      <c r="E34">
        <v>-5.9160000000000004</v>
      </c>
      <c r="G34">
        <f t="shared" si="38"/>
        <v>5.6539999999999999</v>
      </c>
      <c r="H34">
        <f t="shared" si="39"/>
        <v>-9.0839999999999996</v>
      </c>
      <c r="I34" s="3">
        <f t="shared" si="32"/>
        <v>0.46546536799999999</v>
      </c>
      <c r="J34" s="3">
        <f t="shared" si="33"/>
        <v>0.55548507199999997</v>
      </c>
      <c r="L34">
        <f t="shared" si="34"/>
        <v>5.6539999999999999</v>
      </c>
      <c r="M34">
        <f t="shared" si="35"/>
        <v>-9.0839999999999996</v>
      </c>
      <c r="O34" s="4">
        <f t="shared" si="36"/>
        <v>188.19345477029864</v>
      </c>
      <c r="P34" s="4">
        <f t="shared" si="37"/>
        <v>74.70298140548411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zoomScale="92" workbookViewId="0">
      <selection activeCell="G14" sqref="G14"/>
    </sheetView>
  </sheetViews>
  <sheetFormatPr defaultRowHeight="14.5" x14ac:dyDescent="0.35"/>
  <cols>
    <col min="1" max="1" width="16.81640625" bestFit="1" customWidth="1"/>
    <col min="2" max="2" width="11.81640625" bestFit="1" customWidth="1"/>
    <col min="3" max="3" width="3.6328125" customWidth="1"/>
    <col min="4" max="5" width="9" style="2" bestFit="1" customWidth="1"/>
    <col min="6" max="6" width="12.90625" style="2" bestFit="1" customWidth="1"/>
    <col min="7" max="7" width="11.81640625" style="2" bestFit="1" customWidth="1"/>
    <col min="8" max="8" width="14" style="2" bestFit="1" customWidth="1"/>
    <col min="9" max="9" width="13.90625" style="2" bestFit="1" customWidth="1"/>
    <col min="10" max="12" width="11.81640625" style="2" bestFit="1" customWidth="1"/>
    <col min="13" max="13" width="12.453125" style="2" bestFit="1" customWidth="1"/>
    <col min="14" max="15" width="12.453125" style="2" customWidth="1"/>
  </cols>
  <sheetData>
    <row r="1" spans="1:17" ht="15.5" x14ac:dyDescent="0.35">
      <c r="A1" s="5" t="s">
        <v>23</v>
      </c>
      <c r="B1">
        <v>640</v>
      </c>
      <c r="D1" s="6" t="s">
        <v>42</v>
      </c>
      <c r="E1" s="6" t="s">
        <v>42</v>
      </c>
      <c r="F1" s="6" t="s">
        <v>29</v>
      </c>
      <c r="G1" s="6" t="s">
        <v>28</v>
      </c>
      <c r="H1" s="6" t="s">
        <v>34</v>
      </c>
      <c r="I1" s="6" t="s">
        <v>35</v>
      </c>
      <c r="J1" s="6" t="s">
        <v>36</v>
      </c>
      <c r="K1" s="6" t="s">
        <v>36</v>
      </c>
      <c r="L1" s="6" t="s">
        <v>38</v>
      </c>
      <c r="M1" s="6" t="s">
        <v>40</v>
      </c>
      <c r="N1" s="6"/>
      <c r="O1" s="6"/>
      <c r="P1" s="6" t="s">
        <v>107</v>
      </c>
      <c r="Q1" s="6" t="s">
        <v>108</v>
      </c>
    </row>
    <row r="2" spans="1:17" ht="15.5" x14ac:dyDescent="0.35">
      <c r="A2" s="5" t="s">
        <v>22</v>
      </c>
      <c r="B2">
        <v>480</v>
      </c>
      <c r="D2" s="6" t="s">
        <v>43</v>
      </c>
      <c r="E2" s="6" t="s">
        <v>44</v>
      </c>
      <c r="F2" s="6"/>
      <c r="G2" s="6"/>
      <c r="H2" s="6"/>
      <c r="I2" s="6"/>
      <c r="J2" s="6" t="s">
        <v>41</v>
      </c>
      <c r="K2" s="6" t="s">
        <v>37</v>
      </c>
      <c r="L2" s="6" t="s">
        <v>39</v>
      </c>
      <c r="M2" s="6" t="s">
        <v>39</v>
      </c>
      <c r="N2" s="6"/>
      <c r="O2" s="6"/>
      <c r="P2" s="6" t="s">
        <v>39</v>
      </c>
      <c r="Q2" s="6" t="s">
        <v>39</v>
      </c>
    </row>
    <row r="3" spans="1:17" ht="15.5" x14ac:dyDescent="0.35">
      <c r="A3" s="5" t="s">
        <v>24</v>
      </c>
      <c r="B3">
        <v>64.66</v>
      </c>
      <c r="D3" s="2">
        <v>6</v>
      </c>
      <c r="E3" s="2">
        <f t="shared" ref="E3:E8" si="0">+D3*12</f>
        <v>72</v>
      </c>
      <c r="F3" s="7">
        <f t="shared" ref="F3:F8" si="1">ATAN(+$B$4/E3)*(180/3.1415)</f>
        <v>52.550971630611954</v>
      </c>
      <c r="G3" s="7">
        <f t="shared" ref="G3:G8" si="2">+SQRT(($B$4*$B$4)+(E3*E3))</f>
        <v>118.40608092492548</v>
      </c>
      <c r="H3" s="7">
        <f t="shared" ref="H3:H8" si="3">ATAN(+$B$10/G3)*(180/3.1415)</f>
        <v>3.6726511822003998</v>
      </c>
      <c r="I3" s="7">
        <f t="shared" ref="I3:I8" si="4">ATAN(+$B$11/G3)*(180/3.1415)</f>
        <v>-0.96772092665268872</v>
      </c>
      <c r="J3" s="7">
        <f t="shared" ref="J3:J8" si="5">(+ATAN(($B$5/2) /G3)*$B$6)*2</f>
        <v>9.6549344546368445</v>
      </c>
      <c r="K3" s="7">
        <f t="shared" ref="K3:K8" si="6">+J3/$B$7</f>
        <v>95.563842421397794</v>
      </c>
      <c r="L3" s="7">
        <f t="shared" ref="L3:M8" si="7">+H3/$B$7</f>
        <v>36.351635580084384</v>
      </c>
      <c r="M3" s="7">
        <f t="shared" si="7"/>
        <v>-9.5784316897265835</v>
      </c>
      <c r="N3" s="7"/>
      <c r="O3" s="7"/>
    </row>
    <row r="4" spans="1:17" ht="15.5" x14ac:dyDescent="0.35">
      <c r="A4" s="5" t="s">
        <v>25</v>
      </c>
      <c r="B4">
        <v>94</v>
      </c>
      <c r="D4" s="2">
        <v>8</v>
      </c>
      <c r="E4" s="2">
        <f t="shared" si="0"/>
        <v>96</v>
      </c>
      <c r="F4" s="7">
        <f t="shared" si="1"/>
        <v>44.398218222451092</v>
      </c>
      <c r="G4" s="7">
        <f t="shared" si="2"/>
        <v>134.35773144854747</v>
      </c>
      <c r="H4" s="7">
        <f t="shared" si="3"/>
        <v>3.2376046546000525</v>
      </c>
      <c r="I4" s="7">
        <f t="shared" si="4"/>
        <v>-0.85284616338055208</v>
      </c>
      <c r="J4" s="7">
        <f t="shared" si="5"/>
        <v>8.5131452272190362</v>
      </c>
      <c r="K4" s="7">
        <f t="shared" si="6"/>
        <v>84.262495289517219</v>
      </c>
      <c r="L4" s="7">
        <f t="shared" si="7"/>
        <v>32.04557653795289</v>
      </c>
      <c r="M4" s="7">
        <f t="shared" si="7"/>
        <v>-8.4414095973330241</v>
      </c>
      <c r="N4" s="7"/>
      <c r="O4" s="7"/>
    </row>
    <row r="5" spans="1:17" ht="15.5" x14ac:dyDescent="0.35">
      <c r="A5" s="5" t="s">
        <v>26</v>
      </c>
      <c r="B5">
        <v>20</v>
      </c>
      <c r="D5" s="2">
        <v>10</v>
      </c>
      <c r="E5" s="2">
        <f t="shared" si="0"/>
        <v>120</v>
      </c>
      <c r="F5" s="7">
        <f t="shared" si="1"/>
        <v>38.073904770668868</v>
      </c>
      <c r="G5" s="7">
        <f t="shared" si="2"/>
        <v>152.43359209832983</v>
      </c>
      <c r="H5" s="7">
        <f t="shared" si="3"/>
        <v>2.8543608785873427</v>
      </c>
      <c r="I5" s="7">
        <f t="shared" si="4"/>
        <v>-0.75172645420836237</v>
      </c>
      <c r="J5" s="7">
        <f t="shared" si="5"/>
        <v>7.5067192525776623</v>
      </c>
      <c r="K5" s="7">
        <f t="shared" si="6"/>
        <v>74.300963836215658</v>
      </c>
      <c r="L5" s="7">
        <f t="shared" si="7"/>
        <v>28.252257381625416</v>
      </c>
      <c r="M5" s="7">
        <f t="shared" si="7"/>
        <v>-7.4405340348492421</v>
      </c>
      <c r="N5" s="7"/>
      <c r="O5" s="7"/>
    </row>
    <row r="6" spans="1:17" ht="15.5" x14ac:dyDescent="0.35">
      <c r="A6" s="5" t="s">
        <v>31</v>
      </c>
      <c r="B6">
        <f>180/3.141592</f>
        <v>57.29579143313326</v>
      </c>
      <c r="D6" s="2">
        <v>12</v>
      </c>
      <c r="E6" s="2">
        <f t="shared" si="0"/>
        <v>144</v>
      </c>
      <c r="F6" s="7">
        <f t="shared" si="1"/>
        <v>33.136586831282834</v>
      </c>
      <c r="G6" s="7">
        <f t="shared" si="2"/>
        <v>171.96511274092776</v>
      </c>
      <c r="H6" s="7">
        <f t="shared" si="3"/>
        <v>2.5306155310506147</v>
      </c>
      <c r="I6" s="7">
        <f t="shared" si="4"/>
        <v>-0.66635476518862624</v>
      </c>
      <c r="J6" s="7">
        <f t="shared" si="5"/>
        <v>6.6561569217649135</v>
      </c>
      <c r="K6" s="7">
        <f t="shared" si="6"/>
        <v>65.882159448338157</v>
      </c>
      <c r="L6" s="7">
        <f t="shared" si="7"/>
        <v>25.047849363940514</v>
      </c>
      <c r="M6" s="7">
        <f t="shared" si="7"/>
        <v>-6.5955312360148595</v>
      </c>
      <c r="N6" s="7"/>
      <c r="O6" s="7"/>
    </row>
    <row r="7" spans="1:17" ht="15.5" x14ac:dyDescent="0.35">
      <c r="A7" s="5" t="s">
        <v>27</v>
      </c>
      <c r="B7">
        <f>+B3/B1</f>
        <v>0.10103124999999999</v>
      </c>
      <c r="D7" s="2">
        <v>14</v>
      </c>
      <c r="E7" s="2">
        <f t="shared" si="0"/>
        <v>168</v>
      </c>
      <c r="F7" s="7">
        <f t="shared" si="1"/>
        <v>29.228913978457939</v>
      </c>
      <c r="G7" s="7">
        <f t="shared" si="2"/>
        <v>192.50974001333023</v>
      </c>
      <c r="H7" s="7">
        <f t="shared" si="3"/>
        <v>2.2608453409989901</v>
      </c>
      <c r="I7" s="7">
        <f t="shared" si="4"/>
        <v>-0.59524684891767232</v>
      </c>
      <c r="J7" s="7">
        <f t="shared" si="5"/>
        <v>5.9471630309639245</v>
      </c>
      <c r="K7" s="7">
        <f t="shared" si="6"/>
        <v>58.864589233172161</v>
      </c>
      <c r="L7" s="7">
        <f t="shared" si="7"/>
        <v>22.377683548397059</v>
      </c>
      <c r="M7" s="7">
        <f t="shared" si="7"/>
        <v>-5.8917102274560831</v>
      </c>
      <c r="N7" s="7"/>
      <c r="O7" s="7"/>
    </row>
    <row r="8" spans="1:17" ht="15.5" x14ac:dyDescent="0.35">
      <c r="A8" s="5" t="s">
        <v>30</v>
      </c>
      <c r="B8">
        <f>3.141592/180</f>
        <v>1.745328888888889E-2</v>
      </c>
      <c r="D8" s="2">
        <v>16</v>
      </c>
      <c r="E8" s="2">
        <f t="shared" si="0"/>
        <v>192</v>
      </c>
      <c r="F8" s="7">
        <f t="shared" si="1"/>
        <v>26.086369131921835</v>
      </c>
      <c r="G8" s="7">
        <f t="shared" si="2"/>
        <v>213.77558326431949</v>
      </c>
      <c r="H8" s="7">
        <f t="shared" si="3"/>
        <v>2.0361420168306927</v>
      </c>
      <c r="I8" s="7">
        <f t="shared" si="4"/>
        <v>-0.53603687452105275</v>
      </c>
      <c r="J8" s="7">
        <f t="shared" si="5"/>
        <v>5.3564634557786484</v>
      </c>
      <c r="K8" s="7">
        <f t="shared" si="6"/>
        <v>53.017887591994054</v>
      </c>
      <c r="L8" s="7">
        <f t="shared" si="7"/>
        <v>20.153586309490311</v>
      </c>
      <c r="M8" s="7">
        <f t="shared" si="7"/>
        <v>-5.3056541864131423</v>
      </c>
      <c r="N8" s="7"/>
      <c r="O8" s="7"/>
    </row>
    <row r="9" spans="1:17" ht="15.5" x14ac:dyDescent="0.35">
      <c r="A9" s="5"/>
    </row>
    <row r="10" spans="1:17" ht="15.5" x14ac:dyDescent="0.35">
      <c r="A10" s="5" t="s">
        <v>32</v>
      </c>
      <c r="B10">
        <v>7.6</v>
      </c>
    </row>
    <row r="11" spans="1:17" ht="15.5" x14ac:dyDescent="0.35">
      <c r="A11" s="5" t="s">
        <v>33</v>
      </c>
      <c r="B11">
        <v>-2</v>
      </c>
    </row>
    <row r="13" spans="1:17" ht="15.5" x14ac:dyDescent="0.35">
      <c r="N13" s="6" t="s">
        <v>110</v>
      </c>
      <c r="O13" s="6" t="s">
        <v>111</v>
      </c>
    </row>
    <row r="14" spans="1:17" x14ac:dyDescent="0.35">
      <c r="D14" s="2">
        <v>6</v>
      </c>
      <c r="E14" s="2">
        <f t="shared" ref="E14:E23" si="8">+D14*12-4+13.5</f>
        <v>81.5</v>
      </c>
      <c r="F14" s="7">
        <f t="shared" ref="F14:F23" si="9">ATAN(+$B$4/E14)*(180/3.1415)</f>
        <v>49.075463456620419</v>
      </c>
      <c r="G14" s="7">
        <f>+SQRT(($B$4*$B$4)+(E14*E14))-13.5</f>
        <v>110.91161521337146</v>
      </c>
      <c r="H14" s="7">
        <f t="shared" ref="H14:H23" si="10">ATAN(+$B$10/G14)*(180/3.1415)</f>
        <v>3.9200684708349778</v>
      </c>
      <c r="I14" s="7">
        <f t="shared" ref="I14:I23" si="11">ATAN(+$B$11/G14)*(180/3.1415)</f>
        <v>-1.0330975715236967</v>
      </c>
      <c r="J14" s="7">
        <f t="shared" ref="J14:J23" si="12">(+ATAN(($B$5/2) /G14)*$B$6)*2</f>
        <v>10.303932291507991</v>
      </c>
      <c r="K14" s="7">
        <f t="shared" ref="K14:K23" si="13">+J14/$B$7</f>
        <v>101.98757603719633</v>
      </c>
      <c r="L14" s="7">
        <f t="shared" ref="L14:L23" si="14">+H14/$B$7</f>
        <v>38.800553995273525</v>
      </c>
      <c r="M14" s="7">
        <f t="shared" ref="M14:M23" si="15">+I14/$B$7</f>
        <v>-10.22552498879007</v>
      </c>
      <c r="N14" s="21">
        <f>320+L14</f>
        <v>358.8005539952735</v>
      </c>
      <c r="O14" s="21">
        <f>240-M14</f>
        <v>250.22552498879008</v>
      </c>
    </row>
    <row r="15" spans="1:17" x14ac:dyDescent="0.35">
      <c r="D15" s="2">
        <v>7</v>
      </c>
      <c r="E15" s="2">
        <f t="shared" si="8"/>
        <v>93.5</v>
      </c>
      <c r="F15" s="7">
        <f t="shared" ref="F15" si="16">ATAN(+$B$4/E15)*(180/3.1415)</f>
        <v>45.154120093511942</v>
      </c>
      <c r="G15" s="7">
        <f>+SQRT(($B$4*$B$4)+(E15*E15))-13.5</f>
        <v>119.0829928761604</v>
      </c>
      <c r="H15" s="7">
        <f t="shared" ref="H15" si="17">ATAN(+$B$10/G15)*(180/3.1415)</f>
        <v>3.6518311194668742</v>
      </c>
      <c r="I15" s="7">
        <f t="shared" ref="I15" si="18">ATAN(+$B$11/G15)*(180/3.1415)</f>
        <v>-0.96222107869071916</v>
      </c>
      <c r="J15" s="7">
        <f t="shared" ref="J15" si="19">(+ATAN(($B$5/2) /G15)*$B$6)*2</f>
        <v>9.6003093954691323</v>
      </c>
      <c r="K15" s="7">
        <f t="shared" ref="K15" si="20">+J15/$B$7</f>
        <v>95.023167539440848</v>
      </c>
      <c r="L15" s="7">
        <f t="shared" ref="L15" si="21">+H15/$B$7</f>
        <v>36.145560106074846</v>
      </c>
      <c r="M15" s="7">
        <f t="shared" ref="M15" si="22">+I15/$B$7</f>
        <v>-9.5239945926702809</v>
      </c>
      <c r="N15" s="21">
        <f>320+L15</f>
        <v>356.14556010607487</v>
      </c>
      <c r="O15" s="21">
        <f>240+M15</f>
        <v>230.47600540732972</v>
      </c>
      <c r="P15" s="19">
        <f>+N14-N15</f>
        <v>2.6549938891986358</v>
      </c>
      <c r="Q15" s="19">
        <f>+O14-O15</f>
        <v>19.749519581460362</v>
      </c>
    </row>
    <row r="16" spans="1:17" x14ac:dyDescent="0.35">
      <c r="D16" s="2">
        <v>8</v>
      </c>
      <c r="E16" s="2">
        <f t="shared" si="8"/>
        <v>105.5</v>
      </c>
      <c r="F16" s="7">
        <f t="shared" si="9"/>
        <v>41.702116582735478</v>
      </c>
      <c r="G16" s="7">
        <f t="shared" ref="G16:G23" si="23">+SQRT(($B$4*$B$4)+(E16*E16))-13.5</f>
        <v>127.80198158553898</v>
      </c>
      <c r="H16" s="7">
        <f t="shared" si="10"/>
        <v>3.4033004658762009</v>
      </c>
      <c r="I16" s="7">
        <f t="shared" si="11"/>
        <v>-0.89658692294872189</v>
      </c>
      <c r="J16" s="7">
        <f t="shared" si="12"/>
        <v>8.948106797816024</v>
      </c>
      <c r="K16" s="7">
        <f t="shared" si="13"/>
        <v>88.567713433378529</v>
      </c>
      <c r="L16" s="7">
        <f t="shared" si="14"/>
        <v>33.685621685134066</v>
      </c>
      <c r="M16" s="7">
        <f t="shared" si="15"/>
        <v>-8.8743524696440161</v>
      </c>
      <c r="N16" s="21">
        <f t="shared" ref="N16:N23" si="24">320+L16</f>
        <v>353.68562168513404</v>
      </c>
      <c r="O16" s="21">
        <f t="shared" ref="O16:O23" si="25">240+M16</f>
        <v>231.12564753035599</v>
      </c>
      <c r="P16" s="19">
        <f t="shared" ref="P16:P23" si="26">+N15-N16</f>
        <v>2.4599384209408299</v>
      </c>
      <c r="Q16" s="19">
        <f t="shared" ref="Q16:Q23" si="27">+O15-O16</f>
        <v>-0.64964212302626834</v>
      </c>
    </row>
    <row r="17" spans="4:17" x14ac:dyDescent="0.35">
      <c r="D17" s="2">
        <v>9</v>
      </c>
      <c r="E17" s="2">
        <f t="shared" si="8"/>
        <v>117.5</v>
      </c>
      <c r="F17" s="7">
        <f t="shared" si="9"/>
        <v>38.660948464185736</v>
      </c>
      <c r="G17" s="7">
        <f>+SQRT(($B$4*$B$4)+(E17*E17))-13.5</f>
        <v>136.97341957967194</v>
      </c>
      <c r="H17" s="7">
        <f t="shared" si="10"/>
        <v>3.1759061058557441</v>
      </c>
      <c r="I17" s="7">
        <f t="shared" si="11"/>
        <v>-0.83656227779679015</v>
      </c>
      <c r="J17" s="7">
        <f t="shared" si="12"/>
        <v>8.3511560634685225</v>
      </c>
      <c r="K17" s="7">
        <f t="shared" si="13"/>
        <v>82.659138271262833</v>
      </c>
      <c r="L17" s="7">
        <f t="shared" si="14"/>
        <v>31.434888768136041</v>
      </c>
      <c r="M17" s="7">
        <f t="shared" si="15"/>
        <v>-8.2802328764297215</v>
      </c>
      <c r="N17" s="21">
        <f>320+L17</f>
        <v>351.43488876813603</v>
      </c>
      <c r="O17" s="21">
        <f>240+M17</f>
        <v>231.71976712357028</v>
      </c>
      <c r="P17" s="19">
        <f t="shared" si="26"/>
        <v>2.2507329169980039</v>
      </c>
      <c r="Q17" s="19">
        <f t="shared" si="27"/>
        <v>-0.59411959321428753</v>
      </c>
    </row>
    <row r="18" spans="4:17" x14ac:dyDescent="0.35">
      <c r="D18" s="2">
        <v>10</v>
      </c>
      <c r="E18" s="2">
        <f t="shared" si="8"/>
        <v>129.5</v>
      </c>
      <c r="F18" s="7">
        <f t="shared" si="9"/>
        <v>35.97578495339976</v>
      </c>
      <c r="G18" s="7">
        <f t="shared" si="23"/>
        <v>146.5195300580526</v>
      </c>
      <c r="H18" s="7">
        <f t="shared" si="10"/>
        <v>2.9693710978418069</v>
      </c>
      <c r="I18" s="7">
        <f t="shared" si="11"/>
        <v>-0.7820651773088354</v>
      </c>
      <c r="J18" s="7">
        <f t="shared" si="12"/>
        <v>7.8087987339595735</v>
      </c>
      <c r="K18" s="7">
        <f t="shared" si="13"/>
        <v>77.290924678845158</v>
      </c>
      <c r="L18" s="7">
        <f t="shared" si="14"/>
        <v>29.390620207527942</v>
      </c>
      <c r="M18" s="7">
        <f t="shared" si="15"/>
        <v>-7.7408245202235495</v>
      </c>
      <c r="N18" s="21">
        <f t="shared" si="24"/>
        <v>349.39062020752795</v>
      </c>
      <c r="O18" s="21">
        <f t="shared" si="25"/>
        <v>232.25917547977645</v>
      </c>
      <c r="P18" s="19">
        <f t="shared" si="26"/>
        <v>2.0442685606080886</v>
      </c>
      <c r="Q18" s="19">
        <f t="shared" si="27"/>
        <v>-0.53940835620616667</v>
      </c>
    </row>
    <row r="19" spans="4:17" x14ac:dyDescent="0.35">
      <c r="D19" s="2">
        <v>11</v>
      </c>
      <c r="E19" s="2">
        <f t="shared" si="8"/>
        <v>141.5</v>
      </c>
      <c r="F19" s="7">
        <f t="shared" si="9"/>
        <v>33.597514355771764</v>
      </c>
      <c r="G19" s="7">
        <f t="shared" si="23"/>
        <v>156.3771615020689</v>
      </c>
      <c r="H19" s="7">
        <f t="shared" si="10"/>
        <v>2.7824932666740692</v>
      </c>
      <c r="I19" s="7">
        <f t="shared" si="11"/>
        <v>-0.73277126914586554</v>
      </c>
      <c r="J19" s="7">
        <f t="shared" si="12"/>
        <v>7.3179332932645593</v>
      </c>
      <c r="K19" s="7">
        <f t="shared" si="13"/>
        <v>72.432374074997199</v>
      </c>
      <c r="L19" s="7">
        <f t="shared" si="14"/>
        <v>27.540916960584664</v>
      </c>
      <c r="M19" s="7">
        <f t="shared" si="15"/>
        <v>-7.2529169850503248</v>
      </c>
      <c r="N19" s="21">
        <f t="shared" si="24"/>
        <v>347.54091696058464</v>
      </c>
      <c r="O19" s="21">
        <f t="shared" si="25"/>
        <v>232.74708301494968</v>
      </c>
      <c r="P19" s="19">
        <f t="shared" ref="P19:P20" si="28">+N18-N19</f>
        <v>1.8497032469433066</v>
      </c>
      <c r="Q19" s="19">
        <f t="shared" ref="Q19:Q20" si="29">+O18-O19</f>
        <v>-0.48790753517323537</v>
      </c>
    </row>
    <row r="20" spans="4:17" x14ac:dyDescent="0.35">
      <c r="D20" s="2">
        <v>12</v>
      </c>
      <c r="E20" s="2">
        <f t="shared" si="8"/>
        <v>153.5</v>
      </c>
      <c r="F20" s="7">
        <f t="shared" si="9"/>
        <v>31.483308246896659</v>
      </c>
      <c r="G20" s="7">
        <f t="shared" si="23"/>
        <v>166.49513882324712</v>
      </c>
      <c r="H20" s="7">
        <f t="shared" si="10"/>
        <v>2.6136420498148745</v>
      </c>
      <c r="I20" s="7">
        <f t="shared" si="11"/>
        <v>-0.68824488278786367</v>
      </c>
      <c r="J20" s="7">
        <f t="shared" si="12"/>
        <v>6.8743200418836334</v>
      </c>
      <c r="K20" s="7">
        <f t="shared" si="13"/>
        <v>68.041522220932976</v>
      </c>
      <c r="L20" s="7">
        <f t="shared" si="14"/>
        <v>25.869639837326321</v>
      </c>
      <c r="M20" s="7">
        <f t="shared" si="15"/>
        <v>-6.8121980356361398</v>
      </c>
      <c r="N20" s="21">
        <f t="shared" si="24"/>
        <v>345.8696398373263</v>
      </c>
      <c r="O20" s="21">
        <f t="shared" si="25"/>
        <v>233.18780196436387</v>
      </c>
      <c r="P20" s="19">
        <f t="shared" si="28"/>
        <v>1.671277123258335</v>
      </c>
      <c r="Q20" s="19">
        <f t="shared" si="29"/>
        <v>-0.44071894941419032</v>
      </c>
    </row>
    <row r="21" spans="4:17" x14ac:dyDescent="0.35">
      <c r="D21" s="2">
        <v>13</v>
      </c>
      <c r="E21" s="2">
        <f t="shared" si="8"/>
        <v>165.5</v>
      </c>
      <c r="F21" s="7">
        <f t="shared" si="9"/>
        <v>29.596400896379023</v>
      </c>
      <c r="G21" s="7">
        <f t="shared" si="23"/>
        <v>176.83194687177453</v>
      </c>
      <c r="H21" s="7">
        <f t="shared" si="10"/>
        <v>2.4610538365084467</v>
      </c>
      <c r="I21" s="7">
        <f t="shared" si="11"/>
        <v>-0.64801668927223766</v>
      </c>
      <c r="J21" s="7">
        <f t="shared" si="12"/>
        <v>6.473358694324725</v>
      </c>
      <c r="K21" s="7">
        <f t="shared" si="13"/>
        <v>64.072835823814174</v>
      </c>
      <c r="L21" s="7">
        <f t="shared" si="14"/>
        <v>24.359332746139902</v>
      </c>
      <c r="M21" s="7">
        <f t="shared" si="15"/>
        <v>-6.4140222878786286</v>
      </c>
      <c r="N21" s="21">
        <f t="shared" si="24"/>
        <v>344.3593327461399</v>
      </c>
      <c r="O21" s="21">
        <f t="shared" si="25"/>
        <v>233.58597771212138</v>
      </c>
      <c r="P21" s="19">
        <f t="shared" ref="P21:P22" si="30">+N20-N21</f>
        <v>1.5103070911864052</v>
      </c>
      <c r="Q21" s="19">
        <f t="shared" ref="Q21:Q22" si="31">+O20-O21</f>
        <v>-0.39817574775750586</v>
      </c>
    </row>
    <row r="22" spans="4:17" x14ac:dyDescent="0.35">
      <c r="D22" s="2">
        <v>14</v>
      </c>
      <c r="E22" s="2">
        <f t="shared" si="8"/>
        <v>177.5</v>
      </c>
      <c r="F22" s="7">
        <f t="shared" si="9"/>
        <v>27.905509045271295</v>
      </c>
      <c r="G22" s="7">
        <f t="shared" si="23"/>
        <v>187.35380255300123</v>
      </c>
      <c r="H22" s="7">
        <f t="shared" si="10"/>
        <v>2.3229960864533208</v>
      </c>
      <c r="I22" s="7">
        <f t="shared" si="11"/>
        <v>-0.61162669001136782</v>
      </c>
      <c r="J22" s="7">
        <f t="shared" si="12"/>
        <v>6.1105217779828074</v>
      </c>
      <c r="K22" s="7">
        <f t="shared" si="13"/>
        <v>60.481502287488354</v>
      </c>
      <c r="L22" s="7">
        <f t="shared" si="14"/>
        <v>22.992847128520346</v>
      </c>
      <c r="M22" s="7">
        <f t="shared" si="15"/>
        <v>-6.0538367090515841</v>
      </c>
      <c r="N22" s="21">
        <f t="shared" si="24"/>
        <v>342.99284712852034</v>
      </c>
      <c r="O22" s="21">
        <f t="shared" si="25"/>
        <v>233.94616329094842</v>
      </c>
      <c r="P22" s="19">
        <f t="shared" si="30"/>
        <v>1.3664856176195599</v>
      </c>
      <c r="Q22" s="19">
        <f t="shared" si="31"/>
        <v>-0.36018557882704272</v>
      </c>
    </row>
    <row r="23" spans="4:17" x14ac:dyDescent="0.35">
      <c r="D23" s="2">
        <v>16</v>
      </c>
      <c r="E23" s="2">
        <f t="shared" si="8"/>
        <v>201.5</v>
      </c>
      <c r="F23" s="7">
        <f t="shared" si="9"/>
        <v>25.009847387329074</v>
      </c>
      <c r="G23" s="7">
        <f t="shared" si="23"/>
        <v>208.84713850193799</v>
      </c>
      <c r="H23" s="7">
        <f t="shared" si="10"/>
        <v>2.0841496950892306</v>
      </c>
      <c r="I23" s="7">
        <f t="shared" si="11"/>
        <v>-0.54868568792449735</v>
      </c>
      <c r="J23" s="7">
        <f t="shared" si="12"/>
        <v>5.4826764740666514</v>
      </c>
      <c r="K23" s="7">
        <f t="shared" si="13"/>
        <v>54.26713491188768</v>
      </c>
      <c r="L23" s="7">
        <f t="shared" si="14"/>
        <v>20.628762834164981</v>
      </c>
      <c r="M23" s="7">
        <f t="shared" si="15"/>
        <v>-5.4308512259770856</v>
      </c>
      <c r="N23" s="21">
        <f t="shared" si="24"/>
        <v>340.628762834165</v>
      </c>
      <c r="O23" s="21">
        <f t="shared" si="25"/>
        <v>234.56914877402292</v>
      </c>
      <c r="P23" s="19">
        <f t="shared" si="26"/>
        <v>2.3640842943553366</v>
      </c>
      <c r="Q23" s="19">
        <f t="shared" si="27"/>
        <v>-0.62298548307450119</v>
      </c>
    </row>
    <row r="24" spans="4:17" x14ac:dyDescent="0.35">
      <c r="H24" s="20" t="s">
        <v>109</v>
      </c>
      <c r="I24" s="20" t="s">
        <v>109</v>
      </c>
      <c r="J24" s="20" t="s">
        <v>109</v>
      </c>
      <c r="K24" s="20" t="s">
        <v>109</v>
      </c>
      <c r="L24" s="20" t="s">
        <v>109</v>
      </c>
      <c r="M24" s="20" t="s">
        <v>109</v>
      </c>
      <c r="N24" s="20"/>
      <c r="O24" s="20"/>
    </row>
    <row r="25" spans="4:17" x14ac:dyDescent="0.35">
      <c r="H25" s="7">
        <f t="shared" ref="H25:M25" si="32">+H14-H16</f>
        <v>0.51676800495877684</v>
      </c>
      <c r="I25" s="7">
        <f t="shared" si="32"/>
        <v>-0.13651064857497486</v>
      </c>
      <c r="J25" s="7">
        <f t="shared" si="32"/>
        <v>1.3558254936919667</v>
      </c>
      <c r="K25" s="7">
        <f t="shared" si="32"/>
        <v>13.419862603817805</v>
      </c>
      <c r="L25" s="7">
        <f t="shared" si="32"/>
        <v>5.1149323101394586</v>
      </c>
      <c r="M25" s="7">
        <f t="shared" si="32"/>
        <v>-1.3511725191460542</v>
      </c>
      <c r="N25" s="7"/>
      <c r="O25" s="7"/>
    </row>
    <row r="26" spans="4:17" x14ac:dyDescent="0.35">
      <c r="H26" s="7">
        <f t="shared" ref="H26:M26" si="33">+H16-H18</f>
        <v>0.43392936803439408</v>
      </c>
      <c r="I26" s="7">
        <f t="shared" si="33"/>
        <v>-0.11452174563988649</v>
      </c>
      <c r="J26" s="7">
        <f t="shared" si="33"/>
        <v>1.1393080638564506</v>
      </c>
      <c r="K26" s="7">
        <f t="shared" si="33"/>
        <v>11.276788754533371</v>
      </c>
      <c r="L26" s="7">
        <f t="shared" si="33"/>
        <v>4.2950014776061245</v>
      </c>
      <c r="M26" s="7">
        <f t="shared" si="33"/>
        <v>-1.1335279494204666</v>
      </c>
      <c r="N26" s="7"/>
      <c r="O26" s="7"/>
    </row>
    <row r="27" spans="4:17" x14ac:dyDescent="0.35">
      <c r="H27" s="7">
        <f t="shared" ref="H27:M27" si="34">+H18-H20</f>
        <v>0.35572904802693239</v>
      </c>
      <c r="I27" s="7">
        <f t="shared" si="34"/>
        <v>-9.3820294520971736E-2</v>
      </c>
      <c r="J27" s="7">
        <f t="shared" si="34"/>
        <v>0.93447869207594003</v>
      </c>
      <c r="K27" s="7">
        <f t="shared" si="34"/>
        <v>9.2494024579121827</v>
      </c>
      <c r="L27" s="7">
        <f t="shared" si="34"/>
        <v>3.5209803702016202</v>
      </c>
      <c r="M27" s="7">
        <f t="shared" si="34"/>
        <v>-0.92862648458740971</v>
      </c>
      <c r="N27" s="7"/>
      <c r="O27" s="7"/>
    </row>
    <row r="28" spans="4:17" x14ac:dyDescent="0.35">
      <c r="H28" s="7">
        <f t="shared" ref="H28:M28" si="35">+H20-H22</f>
        <v>0.29064596336155368</v>
      </c>
      <c r="I28" s="7">
        <f t="shared" si="35"/>
        <v>-7.6618192776495841E-2</v>
      </c>
      <c r="J28" s="7">
        <f t="shared" si="35"/>
        <v>0.76379826390082606</v>
      </c>
      <c r="K28" s="7">
        <f t="shared" si="35"/>
        <v>7.5600199334446216</v>
      </c>
      <c r="L28" s="7">
        <f t="shared" si="35"/>
        <v>2.8767927088059757</v>
      </c>
      <c r="M28" s="7">
        <f t="shared" si="35"/>
        <v>-0.75836132658455568</v>
      </c>
      <c r="N28" s="7"/>
      <c r="O28" s="7"/>
    </row>
    <row r="29" spans="4:17" x14ac:dyDescent="0.35">
      <c r="H29" s="7">
        <f t="shared" ref="H29" si="36">+H22-H23</f>
        <v>0.23884639136409014</v>
      </c>
      <c r="I29" s="7">
        <f t="shared" ref="I29:M29" si="37">+I22-I23</f>
        <v>-6.2941002086870479E-2</v>
      </c>
      <c r="J29" s="7">
        <f t="shared" si="37"/>
        <v>0.62784530391615601</v>
      </c>
      <c r="K29" s="7">
        <f t="shared" si="37"/>
        <v>6.2143673756006734</v>
      </c>
      <c r="L29" s="7">
        <f t="shared" si="37"/>
        <v>2.364084294355365</v>
      </c>
      <c r="M29" s="7">
        <f t="shared" si="37"/>
        <v>-0.62298548307449853</v>
      </c>
      <c r="N29" s="7"/>
      <c r="O29" s="7"/>
    </row>
  </sheetData>
  <printOptions gridLines="1"/>
  <pageMargins left="0.25" right="0.25" top="0.75" bottom="0.75" header="0.3" footer="0.3"/>
  <pageSetup scale="79" orientation="landscape" horizontalDpi="4294967295" verticalDpi="4294967295" r:id="rId1"/>
  <headerFooter>
    <oddHeader>&amp;C&amp;"-,Bold"&amp;18Target Image Calculations</oddHeader>
    <oddFooter>&amp;L&amp;F&amp;R&amp;D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topLeftCell="A2" workbookViewId="0">
      <selection activeCell="D7" sqref="D7"/>
    </sheetView>
  </sheetViews>
  <sheetFormatPr defaultRowHeight="14.5" x14ac:dyDescent="0.35"/>
  <cols>
    <col min="1" max="1" width="23.26953125" bestFit="1" customWidth="1"/>
    <col min="4" max="4" width="14.1796875" bestFit="1" customWidth="1"/>
  </cols>
  <sheetData>
    <row r="1" spans="1:7" x14ac:dyDescent="0.35">
      <c r="D1" t="s">
        <v>53</v>
      </c>
      <c r="E1" t="s">
        <v>54</v>
      </c>
    </row>
    <row r="2" spans="1:7" x14ac:dyDescent="0.35">
      <c r="A2" t="s">
        <v>45</v>
      </c>
      <c r="B2">
        <v>3.3</v>
      </c>
      <c r="D2" t="s">
        <v>52</v>
      </c>
    </row>
    <row r="3" spans="1:7" x14ac:dyDescent="0.35">
      <c r="A3" t="s">
        <v>46</v>
      </c>
      <c r="B3">
        <f>+B2/2</f>
        <v>1.65</v>
      </c>
    </row>
    <row r="4" spans="1:7" x14ac:dyDescent="0.35">
      <c r="A4" t="s">
        <v>47</v>
      </c>
      <c r="B4">
        <v>0.31</v>
      </c>
    </row>
    <row r="6" spans="1:7" x14ac:dyDescent="0.35">
      <c r="A6" t="s">
        <v>48</v>
      </c>
      <c r="B6">
        <v>1.5629999999999999</v>
      </c>
      <c r="D6">
        <f>+$B$6 - B6</f>
        <v>0</v>
      </c>
      <c r="E6">
        <f>+D6/$B$4</f>
        <v>0</v>
      </c>
      <c r="F6">
        <f>+ASIN(E6)</f>
        <v>0</v>
      </c>
      <c r="G6">
        <f>+DEGREES(F6)</f>
        <v>0</v>
      </c>
    </row>
    <row r="7" spans="1:7" x14ac:dyDescent="0.35">
      <c r="A7" t="s">
        <v>49</v>
      </c>
      <c r="B7">
        <v>1.4664999999999999</v>
      </c>
      <c r="D7">
        <f>+$B$6 - B7</f>
        <v>9.650000000000003E-2</v>
      </c>
      <c r="E7">
        <f>+D7/$B$4</f>
        <v>0.31129032258064526</v>
      </c>
      <c r="F7">
        <f>+ASIN(E7)</f>
        <v>0.3165505153268392</v>
      </c>
      <c r="G7">
        <f>+DEGREES(F7)</f>
        <v>18.137008530919164</v>
      </c>
    </row>
    <row r="8" spans="1:7" x14ac:dyDescent="0.35">
      <c r="A8" t="s">
        <v>50</v>
      </c>
      <c r="B8">
        <v>1.4105000000000001</v>
      </c>
      <c r="D8">
        <f>+$B$6 - B8</f>
        <v>0.15249999999999986</v>
      </c>
      <c r="E8">
        <f>+D8/$B$4</f>
        <v>0.49193548387096731</v>
      </c>
      <c r="F8">
        <f>+ASIN(E8)</f>
        <v>0.5143114403485014</v>
      </c>
      <c r="G8">
        <f>+DEGREES(F8)</f>
        <v>29.467874887263527</v>
      </c>
    </row>
    <row r="9" spans="1:7" x14ac:dyDescent="0.35">
      <c r="A9" t="s">
        <v>51</v>
      </c>
      <c r="B9">
        <v>1.3440000000000001</v>
      </c>
      <c r="D9">
        <f>+$B$6 - B9</f>
        <v>0.21899999999999986</v>
      </c>
      <c r="E9">
        <f>+D9/$B$4</f>
        <v>0.70645161290322533</v>
      </c>
      <c r="F9">
        <f>+ASIN(E9)</f>
        <v>0.78447204424146399</v>
      </c>
      <c r="G9">
        <f>+DEGREES(F9)</f>
        <v>44.946937281035879</v>
      </c>
    </row>
    <row r="11" spans="1:7" x14ac:dyDescent="0.35">
      <c r="A11" t="s">
        <v>55</v>
      </c>
    </row>
    <row r="12" spans="1:7" x14ac:dyDescent="0.35">
      <c r="A12">
        <v>0</v>
      </c>
      <c r="B12">
        <v>1.5629999999999999</v>
      </c>
      <c r="D12">
        <f>+$B$6 - B12</f>
        <v>0</v>
      </c>
      <c r="E12">
        <f>+D12/$B$4</f>
        <v>0</v>
      </c>
      <c r="F12">
        <f>+ASIN(E12)</f>
        <v>0</v>
      </c>
      <c r="G12">
        <f>+DEGREES(F12)</f>
        <v>0</v>
      </c>
    </row>
    <row r="13" spans="1:7" x14ac:dyDescent="0.35">
      <c r="A13">
        <v>10</v>
      </c>
      <c r="B13">
        <v>1.5149999999999999</v>
      </c>
      <c r="D13">
        <f t="shared" ref="D13:D20" si="0">+$B$6 - B13</f>
        <v>4.8000000000000043E-2</v>
      </c>
      <c r="E13">
        <f t="shared" ref="E13:E20" si="1">+D13/$B$4</f>
        <v>0.1548387096774195</v>
      </c>
      <c r="F13">
        <f t="shared" ref="F13:F20" si="2">+ASIN(E13)</f>
        <v>0.15546419198655606</v>
      </c>
      <c r="G13">
        <f t="shared" ref="G13:G20" si="3">+DEGREES(F13)</f>
        <v>8.9074420662412166</v>
      </c>
    </row>
    <row r="14" spans="1:7" x14ac:dyDescent="0.35">
      <c r="A14">
        <v>20</v>
      </c>
      <c r="B14">
        <v>1.462</v>
      </c>
      <c r="D14">
        <f t="shared" si="0"/>
        <v>0.10099999999999998</v>
      </c>
      <c r="E14">
        <f t="shared" si="1"/>
        <v>0.32580645161290317</v>
      </c>
      <c r="F14">
        <f t="shared" si="2"/>
        <v>0.33186459681824587</v>
      </c>
      <c r="G14">
        <f t="shared" si="3"/>
        <v>19.014440767496176</v>
      </c>
    </row>
    <row r="15" spans="1:7" x14ac:dyDescent="0.35">
      <c r="A15">
        <v>30</v>
      </c>
      <c r="B15">
        <v>1.4059999999999999</v>
      </c>
      <c r="D15">
        <f t="shared" si="0"/>
        <v>0.15700000000000003</v>
      </c>
      <c r="E15">
        <f t="shared" si="1"/>
        <v>0.50645161290322593</v>
      </c>
      <c r="F15">
        <f t="shared" si="2"/>
        <v>0.53106461617077838</v>
      </c>
      <c r="G15">
        <f t="shared" si="3"/>
        <v>30.42776115532061</v>
      </c>
    </row>
    <row r="16" spans="1:7" x14ac:dyDescent="0.35">
      <c r="A16">
        <v>40</v>
      </c>
      <c r="B16">
        <v>1.3620000000000001</v>
      </c>
      <c r="D16">
        <f t="shared" si="0"/>
        <v>0.20099999999999985</v>
      </c>
      <c r="E16">
        <f t="shared" si="1"/>
        <v>0.64838709677419304</v>
      </c>
      <c r="F16">
        <f t="shared" si="2"/>
        <v>0.70546393333969959</v>
      </c>
      <c r="G16">
        <f t="shared" si="3"/>
        <v>40.42010597906323</v>
      </c>
    </row>
    <row r="17" spans="1:7" x14ac:dyDescent="0.35">
      <c r="A17">
        <v>50</v>
      </c>
      <c r="B17">
        <v>1.323</v>
      </c>
      <c r="D17">
        <f t="shared" si="0"/>
        <v>0.24</v>
      </c>
      <c r="E17">
        <f t="shared" si="1"/>
        <v>0.77419354838709675</v>
      </c>
      <c r="F17">
        <f t="shared" si="2"/>
        <v>0.88543998230555598</v>
      </c>
      <c r="G17">
        <f t="shared" si="3"/>
        <v>50.731973998246652</v>
      </c>
    </row>
    <row r="18" spans="1:7" x14ac:dyDescent="0.35">
      <c r="A18">
        <v>60</v>
      </c>
      <c r="B18">
        <v>1.292</v>
      </c>
      <c r="D18">
        <f t="shared" si="0"/>
        <v>0.27099999999999991</v>
      </c>
      <c r="E18">
        <f t="shared" si="1"/>
        <v>0.87419354838709651</v>
      </c>
      <c r="F18">
        <f t="shared" si="2"/>
        <v>1.0637725165900422</v>
      </c>
      <c r="G18">
        <f t="shared" si="3"/>
        <v>60.949675562619767</v>
      </c>
    </row>
    <row r="19" spans="1:7" x14ac:dyDescent="0.35">
      <c r="A19">
        <v>70</v>
      </c>
      <c r="B19">
        <v>1.2689999999999999</v>
      </c>
      <c r="D19">
        <f t="shared" si="0"/>
        <v>0.29400000000000004</v>
      </c>
      <c r="E19">
        <f t="shared" si="1"/>
        <v>0.94838709677419364</v>
      </c>
      <c r="F19">
        <f t="shared" si="2"/>
        <v>1.2481104139259556</v>
      </c>
      <c r="G19">
        <f t="shared" si="3"/>
        <v>71.511459084283459</v>
      </c>
    </row>
    <row r="20" spans="1:7" x14ac:dyDescent="0.35">
      <c r="A20">
        <v>80</v>
      </c>
      <c r="B20">
        <v>1.252</v>
      </c>
      <c r="D20">
        <f t="shared" si="0"/>
        <v>0.31099999999999994</v>
      </c>
      <c r="E20">
        <f t="shared" si="1"/>
        <v>1.0032258064516126</v>
      </c>
      <c r="F20" t="e">
        <f t="shared" si="2"/>
        <v>#NUM!</v>
      </c>
      <c r="G20" t="e">
        <f t="shared" si="3"/>
        <v>#NUM!</v>
      </c>
    </row>
  </sheetData>
  <printOptions gridLines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activeCell="C15" sqref="C15"/>
    </sheetView>
  </sheetViews>
  <sheetFormatPr defaultRowHeight="14.5" x14ac:dyDescent="0.35"/>
  <cols>
    <col min="2" max="2" width="11.26953125" customWidth="1"/>
    <col min="6" max="7" width="12.54296875" customWidth="1"/>
    <col min="8" max="8" width="10.36328125" bestFit="1" customWidth="1"/>
    <col min="9" max="9" width="10.90625" bestFit="1" customWidth="1"/>
  </cols>
  <sheetData>
    <row r="1" spans="1:11" x14ac:dyDescent="0.35">
      <c r="B1" t="s">
        <v>92</v>
      </c>
      <c r="C1" t="s">
        <v>94</v>
      </c>
      <c r="D1" t="s">
        <v>99</v>
      </c>
      <c r="E1" t="s">
        <v>99</v>
      </c>
      <c r="F1" t="s">
        <v>101</v>
      </c>
      <c r="G1" t="s">
        <v>102</v>
      </c>
      <c r="H1" t="s">
        <v>96</v>
      </c>
      <c r="I1" t="s">
        <v>105</v>
      </c>
      <c r="J1" t="s">
        <v>96</v>
      </c>
      <c r="K1" t="s">
        <v>106</v>
      </c>
    </row>
    <row r="2" spans="1:11" x14ac:dyDescent="0.35">
      <c r="B2" t="s">
        <v>93</v>
      </c>
      <c r="C2" t="s">
        <v>95</v>
      </c>
      <c r="D2" t="s">
        <v>97</v>
      </c>
      <c r="E2" t="s">
        <v>100</v>
      </c>
      <c r="F2" t="s">
        <v>94</v>
      </c>
      <c r="G2" t="s">
        <v>103</v>
      </c>
      <c r="H2" t="s">
        <v>97</v>
      </c>
      <c r="J2" t="s">
        <v>98</v>
      </c>
      <c r="K2" t="s">
        <v>96</v>
      </c>
    </row>
    <row r="4" spans="1:11" x14ac:dyDescent="0.35">
      <c r="B4">
        <v>-2.7</v>
      </c>
      <c r="C4">
        <v>0</v>
      </c>
      <c r="H4">
        <v>-4.1980000000000004</v>
      </c>
      <c r="I4">
        <f>+H4-B4</f>
        <v>-1.4980000000000002</v>
      </c>
      <c r="J4">
        <v>1300</v>
      </c>
    </row>
    <row r="5" spans="1:11" x14ac:dyDescent="0.35">
      <c r="A5">
        <v>1</v>
      </c>
      <c r="B5">
        <v>3.8</v>
      </c>
      <c r="C5">
        <v>7110</v>
      </c>
      <c r="D5">
        <f>+B5-B4</f>
        <v>6.5</v>
      </c>
      <c r="E5">
        <f>+C5-C4</f>
        <v>7110</v>
      </c>
      <c r="F5" s="17">
        <f t="shared" ref="F5:F14" si="0">+D5/E5</f>
        <v>9.1420534458509144E-4</v>
      </c>
      <c r="G5" s="17"/>
      <c r="H5">
        <v>2.5750000000000002</v>
      </c>
      <c r="I5">
        <f t="shared" ref="I5:I14" si="1">+H5-B5</f>
        <v>-1.2249999999999996</v>
      </c>
      <c r="J5">
        <v>1270</v>
      </c>
      <c r="K5">
        <f>+J5-J4</f>
        <v>-30</v>
      </c>
    </row>
    <row r="6" spans="1:11" x14ac:dyDescent="0.35">
      <c r="A6">
        <v>2</v>
      </c>
      <c r="B6">
        <v>9.1</v>
      </c>
      <c r="C6">
        <v>12519</v>
      </c>
      <c r="D6">
        <f t="shared" ref="D6:D14" si="2">+B6-B5</f>
        <v>5.3</v>
      </c>
      <c r="E6">
        <f t="shared" ref="E6:E14" si="3">+C6-C5</f>
        <v>5409</v>
      </c>
      <c r="F6" s="17">
        <f t="shared" si="0"/>
        <v>9.7984840081345899E-4</v>
      </c>
      <c r="G6" s="17">
        <f t="shared" ref="G6:G13" si="4">+F6-F5</f>
        <v>6.5643056228367551E-5</v>
      </c>
      <c r="H6">
        <v>7.7</v>
      </c>
      <c r="I6">
        <f t="shared" si="1"/>
        <v>-1.3999999999999995</v>
      </c>
      <c r="J6">
        <v>1246</v>
      </c>
      <c r="K6">
        <f t="shared" ref="K6:K14" si="5">+J6-J5</f>
        <v>-24</v>
      </c>
    </row>
    <row r="7" spans="1:11" x14ac:dyDescent="0.35">
      <c r="A7">
        <v>3</v>
      </c>
      <c r="B7">
        <v>13.4</v>
      </c>
      <c r="C7">
        <v>16793</v>
      </c>
      <c r="D7">
        <f t="shared" si="2"/>
        <v>4.3000000000000007</v>
      </c>
      <c r="E7">
        <f t="shared" si="3"/>
        <v>4274</v>
      </c>
      <c r="F7" s="17">
        <f t="shared" si="0"/>
        <v>1.0060832943378569E-3</v>
      </c>
      <c r="G7" s="17">
        <f t="shared" si="4"/>
        <v>2.6234893524397897E-5</v>
      </c>
      <c r="H7">
        <v>12.14</v>
      </c>
      <c r="I7">
        <f t="shared" si="1"/>
        <v>-1.2599999999999998</v>
      </c>
      <c r="J7">
        <v>1227</v>
      </c>
      <c r="K7">
        <f t="shared" si="5"/>
        <v>-19</v>
      </c>
    </row>
    <row r="8" spans="1:11" x14ac:dyDescent="0.35">
      <c r="A8">
        <v>4</v>
      </c>
      <c r="B8">
        <v>19.25</v>
      </c>
      <c r="C8">
        <v>22628</v>
      </c>
      <c r="D8">
        <f t="shared" si="2"/>
        <v>5.85</v>
      </c>
      <c r="E8">
        <f t="shared" si="3"/>
        <v>5835</v>
      </c>
      <c r="F8" s="17">
        <f t="shared" si="0"/>
        <v>1.0025706940874036E-3</v>
      </c>
      <c r="G8" s="17">
        <f t="shared" si="4"/>
        <v>-3.5126002504532947E-6</v>
      </c>
      <c r="H8">
        <v>17.899999999999999</v>
      </c>
      <c r="I8">
        <f t="shared" si="1"/>
        <v>-1.3500000000000014</v>
      </c>
      <c r="J8">
        <v>1201</v>
      </c>
      <c r="K8">
        <f t="shared" si="5"/>
        <v>-26</v>
      </c>
    </row>
    <row r="9" spans="1:11" x14ac:dyDescent="0.35">
      <c r="A9">
        <v>5</v>
      </c>
      <c r="B9">
        <v>26.75</v>
      </c>
      <c r="C9">
        <v>30349</v>
      </c>
      <c r="D9">
        <f t="shared" si="2"/>
        <v>7.5</v>
      </c>
      <c r="E9">
        <f t="shared" si="3"/>
        <v>7721</v>
      </c>
      <c r="F9" s="17">
        <f t="shared" si="0"/>
        <v>9.7137676466778919E-4</v>
      </c>
      <c r="G9" s="17">
        <f t="shared" si="4"/>
        <v>-3.1193929419614402E-5</v>
      </c>
      <c r="H9">
        <v>25.7</v>
      </c>
      <c r="I9">
        <f t="shared" si="1"/>
        <v>-1.0500000000000007</v>
      </c>
      <c r="J9">
        <v>1171</v>
      </c>
      <c r="K9">
        <f t="shared" si="5"/>
        <v>-30</v>
      </c>
    </row>
    <row r="10" spans="1:11" x14ac:dyDescent="0.35">
      <c r="A10">
        <v>6</v>
      </c>
      <c r="B10">
        <v>30.8</v>
      </c>
      <c r="C10">
        <v>35785</v>
      </c>
      <c r="D10">
        <f t="shared" si="2"/>
        <v>4.0500000000000007</v>
      </c>
      <c r="E10">
        <f t="shared" si="3"/>
        <v>5436</v>
      </c>
      <c r="F10" s="17">
        <f t="shared" si="0"/>
        <v>7.4503311258278162E-4</v>
      </c>
      <c r="G10" s="17">
        <f t="shared" si="4"/>
        <v>-2.2634365208500757E-4</v>
      </c>
      <c r="H10">
        <v>30.8</v>
      </c>
      <c r="I10">
        <f t="shared" si="1"/>
        <v>0</v>
      </c>
      <c r="J10">
        <v>1150</v>
      </c>
      <c r="K10">
        <f t="shared" si="5"/>
        <v>-21</v>
      </c>
    </row>
    <row r="11" spans="1:11" x14ac:dyDescent="0.35">
      <c r="A11">
        <v>7</v>
      </c>
      <c r="B11">
        <v>36.6</v>
      </c>
      <c r="C11">
        <v>41092</v>
      </c>
      <c r="D11">
        <f t="shared" si="2"/>
        <v>5.8000000000000007</v>
      </c>
      <c r="E11">
        <f t="shared" si="3"/>
        <v>5307</v>
      </c>
      <c r="F11" s="17">
        <f t="shared" si="0"/>
        <v>1.0928961748633882E-3</v>
      </c>
      <c r="G11" s="17">
        <f t="shared" si="4"/>
        <v>3.4786306228060658E-4</v>
      </c>
      <c r="H11">
        <v>35.700000000000003</v>
      </c>
      <c r="I11">
        <f t="shared" si="1"/>
        <v>-0.89999999999999858</v>
      </c>
      <c r="J11">
        <v>1133</v>
      </c>
      <c r="K11">
        <f t="shared" si="5"/>
        <v>-17</v>
      </c>
    </row>
    <row r="12" spans="1:11" x14ac:dyDescent="0.35">
      <c r="A12">
        <v>8</v>
      </c>
      <c r="B12">
        <v>42.9</v>
      </c>
      <c r="C12">
        <v>47560</v>
      </c>
      <c r="D12">
        <f t="shared" si="2"/>
        <v>6.2999999999999972</v>
      </c>
      <c r="E12">
        <f t="shared" si="3"/>
        <v>6468</v>
      </c>
      <c r="F12" s="17">
        <f t="shared" si="0"/>
        <v>9.7402597402597359E-4</v>
      </c>
      <c r="G12" s="17">
        <f t="shared" si="4"/>
        <v>-1.188702008374146E-4</v>
      </c>
      <c r="H12">
        <v>41.9</v>
      </c>
      <c r="I12">
        <f t="shared" si="1"/>
        <v>-1</v>
      </c>
      <c r="J12">
        <v>1111</v>
      </c>
      <c r="K12">
        <f t="shared" si="5"/>
        <v>-22</v>
      </c>
    </row>
    <row r="13" spans="1:11" x14ac:dyDescent="0.35">
      <c r="A13">
        <v>9</v>
      </c>
      <c r="B13">
        <v>48.8</v>
      </c>
      <c r="C13">
        <v>54179</v>
      </c>
      <c r="D13">
        <f t="shared" si="2"/>
        <v>5.8999999999999986</v>
      </c>
      <c r="E13">
        <f t="shared" si="3"/>
        <v>6619</v>
      </c>
      <c r="F13" s="17">
        <f t="shared" si="0"/>
        <v>8.9137331923251227E-4</v>
      </c>
      <c r="G13" s="17">
        <f t="shared" si="4"/>
        <v>-8.2652654793461322E-5</v>
      </c>
      <c r="H13" s="17">
        <v>47.8</v>
      </c>
      <c r="I13">
        <f t="shared" si="1"/>
        <v>-1</v>
      </c>
      <c r="J13">
        <v>1093</v>
      </c>
      <c r="K13">
        <f t="shared" si="5"/>
        <v>-18</v>
      </c>
    </row>
    <row r="14" spans="1:11" x14ac:dyDescent="0.35">
      <c r="A14">
        <v>10</v>
      </c>
      <c r="B14">
        <v>49.7</v>
      </c>
      <c r="C14">
        <v>55322</v>
      </c>
      <c r="D14">
        <f t="shared" si="2"/>
        <v>0.90000000000000568</v>
      </c>
      <c r="E14">
        <f t="shared" si="3"/>
        <v>1143</v>
      </c>
      <c r="F14" s="17">
        <f t="shared" si="0"/>
        <v>7.8740157480315458E-4</v>
      </c>
      <c r="G14" s="17">
        <f>+F14-F13</f>
        <v>-1.0397174442935769E-4</v>
      </c>
      <c r="H14">
        <v>48.9</v>
      </c>
      <c r="I14">
        <f t="shared" si="1"/>
        <v>-0.80000000000000426</v>
      </c>
      <c r="J14">
        <v>1090</v>
      </c>
      <c r="K14">
        <f t="shared" si="5"/>
        <v>-3</v>
      </c>
    </row>
    <row r="15" spans="1:11" x14ac:dyDescent="0.35">
      <c r="A15">
        <v>11</v>
      </c>
      <c r="B15">
        <v>55</v>
      </c>
      <c r="C15" s="18">
        <f>+C14+E15</f>
        <v>62893.428571428565</v>
      </c>
      <c r="D15">
        <f>+B15-B14</f>
        <v>5.2999999999999972</v>
      </c>
      <c r="E15" s="18">
        <f>+D15/F15</f>
        <v>7571.428571428567</v>
      </c>
      <c r="F15" s="17">
        <v>6.9999999999999999E-4</v>
      </c>
      <c r="G15" s="17">
        <f>+F15-F14</f>
        <v>-8.740157480315459E-5</v>
      </c>
      <c r="H15" t="s">
        <v>104</v>
      </c>
    </row>
  </sheetData>
  <printOptions gridLines="1"/>
  <pageMargins left="0.7" right="0.7" top="0.75" bottom="0.75" header="0.3" footer="0.3"/>
  <pageSetup scale="82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workbookViewId="0">
      <selection activeCell="A8" sqref="A8:XFD8"/>
    </sheetView>
  </sheetViews>
  <sheetFormatPr defaultRowHeight="14.5" x14ac:dyDescent="0.35"/>
  <cols>
    <col min="6" max="6" width="9.7265625" customWidth="1"/>
    <col min="8" max="8" width="12.453125" bestFit="1" customWidth="1"/>
    <col min="9" max="9" width="16.7265625" customWidth="1"/>
    <col min="10" max="10" width="7.54296875" bestFit="1" customWidth="1"/>
    <col min="11" max="11" width="8.453125" bestFit="1" customWidth="1"/>
    <col min="12" max="12" width="8.453125" customWidth="1"/>
  </cols>
  <sheetData>
    <row r="1" spans="1:12" x14ac:dyDescent="0.35">
      <c r="A1" t="s">
        <v>126</v>
      </c>
      <c r="B1">
        <v>5</v>
      </c>
      <c r="K1" t="s">
        <v>130</v>
      </c>
      <c r="L1" t="s">
        <v>130</v>
      </c>
    </row>
    <row r="2" spans="1:12" x14ac:dyDescent="0.35">
      <c r="A2" t="s">
        <v>113</v>
      </c>
      <c r="B2">
        <v>96</v>
      </c>
      <c r="H2" t="s">
        <v>127</v>
      </c>
      <c r="I2" t="s">
        <v>125</v>
      </c>
      <c r="J2" t="s">
        <v>40</v>
      </c>
      <c r="K2" t="s">
        <v>131</v>
      </c>
      <c r="L2" t="s">
        <v>131</v>
      </c>
    </row>
    <row r="3" spans="1:12" x14ac:dyDescent="0.35">
      <c r="A3" t="s">
        <v>112</v>
      </c>
      <c r="B3">
        <v>8.6</v>
      </c>
      <c r="D3" t="s">
        <v>119</v>
      </c>
      <c r="E3" t="s">
        <v>119</v>
      </c>
      <c r="G3" t="s">
        <v>120</v>
      </c>
      <c r="H3" t="s">
        <v>122</v>
      </c>
      <c r="I3" t="s">
        <v>128</v>
      </c>
      <c r="J3" t="s">
        <v>97</v>
      </c>
      <c r="K3" t="s">
        <v>97</v>
      </c>
      <c r="L3" t="s">
        <v>8</v>
      </c>
    </row>
    <row r="4" spans="1:12" x14ac:dyDescent="0.35">
      <c r="A4" t="s">
        <v>114</v>
      </c>
      <c r="B4" t="s">
        <v>114</v>
      </c>
      <c r="C4" t="s">
        <v>70</v>
      </c>
      <c r="D4" t="s">
        <v>117</v>
      </c>
      <c r="E4" t="s">
        <v>118</v>
      </c>
      <c r="G4" t="s">
        <v>121</v>
      </c>
      <c r="H4" t="s">
        <v>123</v>
      </c>
      <c r="I4" t="s">
        <v>129</v>
      </c>
      <c r="K4" t="s">
        <v>119</v>
      </c>
    </row>
    <row r="5" spans="1:12" x14ac:dyDescent="0.35">
      <c r="A5" t="s">
        <v>115</v>
      </c>
      <c r="B5" t="s">
        <v>116</v>
      </c>
      <c r="C5" t="s">
        <v>116</v>
      </c>
      <c r="G5" t="s">
        <v>124</v>
      </c>
    </row>
    <row r="6" spans="1:12" x14ac:dyDescent="0.35">
      <c r="A6">
        <v>7</v>
      </c>
      <c r="B6">
        <f>+A6*12+13.5</f>
        <v>97.5</v>
      </c>
      <c r="C6" s="7">
        <f>+SQRT(($B$2*$B$2)+(B6*B6))</f>
        <v>136.82927318377452</v>
      </c>
      <c r="D6" s="4">
        <f>+DEGREES(ATAN($B$3/C6))</f>
        <v>3.5964262933765645</v>
      </c>
      <c r="E6" s="18">
        <f>+D6/0.10234375 +320</f>
        <v>355.14065385894656</v>
      </c>
      <c r="G6">
        <f>+(B6-13.5)/12</f>
        <v>7</v>
      </c>
      <c r="H6" s="4">
        <f>+((0.23*(G6*G6))-(5.995 *G6) + 82.685)</f>
        <v>51.99</v>
      </c>
      <c r="I6" s="4">
        <f>+DEGREES(ATAN($B$2/(B6)))</f>
        <v>44.555855566888077</v>
      </c>
      <c r="J6" s="4">
        <f>+DEGREES(ATAN($B$1/C6))</f>
        <v>2.0927648031250055</v>
      </c>
      <c r="K6" s="4">
        <f t="shared" ref="K6:K20" si="0">+H6-I6-J6</f>
        <v>5.3413796299869194</v>
      </c>
      <c r="L6" s="18">
        <f>240 - (K6/0.10234375)</f>
        <v>187.80942040928812</v>
      </c>
    </row>
    <row r="7" spans="1:12" x14ac:dyDescent="0.35">
      <c r="A7">
        <v>7.5</v>
      </c>
      <c r="B7">
        <f t="shared" ref="B7:B20" si="1">+A7*12+13.5</f>
        <v>103.5</v>
      </c>
      <c r="C7" s="7">
        <f t="shared" ref="C7:C20" si="2">+SQRT(($B$2*$B$2)+(B7*B7))</f>
        <v>141.16745375616861</v>
      </c>
      <c r="D7" s="4">
        <f t="shared" ref="D7:D20" si="3">+DEGREES(ATAN($B$3/C7))</f>
        <v>3.4861823241437588</v>
      </c>
      <c r="E7" s="18">
        <f t="shared" ref="E7:E20" si="4">+D7/0.10234375 +320</f>
        <v>354.06346087712984</v>
      </c>
      <c r="G7">
        <f>+(B7-13.5)/12</f>
        <v>7.5</v>
      </c>
      <c r="H7" s="4">
        <f t="shared" ref="H7:H20" si="5">+((0.23*(G7*G7))-(5.995 *G7) + 82.685)</f>
        <v>50.660000000000004</v>
      </c>
      <c r="I7" s="4">
        <f t="shared" ref="I7:I20" si="6">+DEGREES(ATAN($B$2/B7))</f>
        <v>42.847037210899543</v>
      </c>
      <c r="J7" s="4">
        <f t="shared" ref="J7:J20" si="7">+DEGREES(ATAN($B$1/C7))</f>
        <v>2.0285071669167625</v>
      </c>
      <c r="K7" s="4">
        <f t="shared" si="0"/>
        <v>5.7844556221836978</v>
      </c>
      <c r="L7" s="18">
        <f t="shared" ref="L7:L20" si="8">240 - (K7/0.10234375)</f>
        <v>183.48012827179286</v>
      </c>
    </row>
    <row r="8" spans="1:12" x14ac:dyDescent="0.35">
      <c r="A8">
        <v>8.1999999999999993</v>
      </c>
      <c r="B8">
        <f t="shared" si="1"/>
        <v>111.89999999999999</v>
      </c>
      <c r="C8" s="7">
        <f t="shared" si="2"/>
        <v>147.43680001953379</v>
      </c>
      <c r="D8" s="4">
        <f t="shared" si="3"/>
        <v>3.3382846418818395</v>
      </c>
      <c r="E8" s="18">
        <f t="shared" si="4"/>
        <v>352.61835375273859</v>
      </c>
      <c r="G8">
        <f t="shared" ref="G8:G20" si="9">+(B8-13.5)/12</f>
        <v>8.1999999999999993</v>
      </c>
      <c r="H8" s="4">
        <f t="shared" si="5"/>
        <v>48.991200000000006</v>
      </c>
      <c r="I8" s="4">
        <f t="shared" si="6"/>
        <v>40.626585210350733</v>
      </c>
      <c r="J8" s="4">
        <f t="shared" si="7"/>
        <v>1.9423179874880223</v>
      </c>
      <c r="K8" s="4">
        <f>+H8-I8-J8</f>
        <v>6.4222968021612514</v>
      </c>
      <c r="L8" s="18">
        <f t="shared" si="8"/>
        <v>177.24778697124884</v>
      </c>
    </row>
    <row r="9" spans="1:12" x14ac:dyDescent="0.35">
      <c r="A9">
        <v>8.5</v>
      </c>
      <c r="B9">
        <f t="shared" si="1"/>
        <v>115.5</v>
      </c>
      <c r="C9" s="7">
        <f t="shared" si="2"/>
        <v>150.1873829587559</v>
      </c>
      <c r="D9" s="4">
        <f t="shared" si="3"/>
        <v>3.2772806640004966</v>
      </c>
      <c r="E9" s="18">
        <f t="shared" si="4"/>
        <v>352.02228435053922</v>
      </c>
      <c r="G9">
        <f t="shared" si="9"/>
        <v>8.5</v>
      </c>
      <c r="H9" s="4">
        <f t="shared" si="5"/>
        <v>48.344999999999999</v>
      </c>
      <c r="I9" s="4">
        <f t="shared" si="6"/>
        <v>39.732302871955774</v>
      </c>
      <c r="J9" s="4">
        <f t="shared" si="7"/>
        <v>1.9067722171636008</v>
      </c>
      <c r="K9" s="4">
        <f t="shared" si="0"/>
        <v>6.7059249108806238</v>
      </c>
      <c r="L9" s="18">
        <f t="shared" si="8"/>
        <v>174.47645888605192</v>
      </c>
    </row>
    <row r="10" spans="1:12" x14ac:dyDescent="0.35">
      <c r="A10">
        <v>9</v>
      </c>
      <c r="B10">
        <f t="shared" si="1"/>
        <v>121.5</v>
      </c>
      <c r="C10" s="7">
        <f t="shared" si="2"/>
        <v>154.84912011374169</v>
      </c>
      <c r="D10" s="4">
        <f t="shared" si="3"/>
        <v>3.1788235061981478</v>
      </c>
      <c r="E10" s="18">
        <f t="shared" si="4"/>
        <v>351.06026021323379</v>
      </c>
      <c r="G10">
        <f t="shared" si="9"/>
        <v>9</v>
      </c>
      <c r="H10" s="4">
        <f t="shared" si="5"/>
        <v>47.360000000000007</v>
      </c>
      <c r="I10" s="4">
        <f t="shared" si="6"/>
        <v>38.313090673817641</v>
      </c>
      <c r="J10" s="4">
        <f t="shared" si="7"/>
        <v>1.849409267058739</v>
      </c>
      <c r="K10" s="4">
        <f t="shared" si="0"/>
        <v>7.1975000591236267</v>
      </c>
      <c r="L10" s="18">
        <f t="shared" si="8"/>
        <v>169.67328186505159</v>
      </c>
    </row>
    <row r="11" spans="1:12" x14ac:dyDescent="0.35">
      <c r="A11">
        <v>9.5</v>
      </c>
      <c r="B11">
        <f t="shared" si="1"/>
        <v>127.5</v>
      </c>
      <c r="C11" s="7">
        <f t="shared" si="2"/>
        <v>159.60028195463815</v>
      </c>
      <c r="D11" s="4">
        <f t="shared" si="3"/>
        <v>3.0843782014934606</v>
      </c>
      <c r="E11" s="18">
        <f t="shared" si="4"/>
        <v>350.13743586192084</v>
      </c>
      <c r="G11">
        <f t="shared" si="9"/>
        <v>9.5</v>
      </c>
      <c r="H11" s="4">
        <f t="shared" si="5"/>
        <v>46.49</v>
      </c>
      <c r="I11" s="4">
        <f t="shared" si="6"/>
        <v>36.977596352672506</v>
      </c>
      <c r="J11" s="4">
        <f t="shared" si="7"/>
        <v>1.7943905027196261</v>
      </c>
      <c r="K11" s="4">
        <f t="shared" si="0"/>
        <v>7.7180131446078697</v>
      </c>
      <c r="L11" s="18">
        <f t="shared" si="8"/>
        <v>164.5873524801674</v>
      </c>
    </row>
    <row r="12" spans="1:12" x14ac:dyDescent="0.35">
      <c r="A12">
        <v>10</v>
      </c>
      <c r="B12">
        <f t="shared" si="1"/>
        <v>133.5</v>
      </c>
      <c r="C12" s="7">
        <f t="shared" si="2"/>
        <v>164.43311710236475</v>
      </c>
      <c r="D12" s="4">
        <f t="shared" si="3"/>
        <v>2.9938930023409718</v>
      </c>
      <c r="E12" s="18">
        <f t="shared" si="4"/>
        <v>349.25330567172858</v>
      </c>
      <c r="G12">
        <f t="shared" si="9"/>
        <v>10</v>
      </c>
      <c r="H12" s="4">
        <f t="shared" si="5"/>
        <v>45.734999999999999</v>
      </c>
      <c r="I12" s="4">
        <f t="shared" si="6"/>
        <v>35.719954312290319</v>
      </c>
      <c r="J12" s="4">
        <f t="shared" si="7"/>
        <v>1.741684748386872</v>
      </c>
      <c r="K12" s="4">
        <f t="shared" si="0"/>
        <v>8.2733609393228082</v>
      </c>
      <c r="L12" s="18">
        <f t="shared" si="8"/>
        <v>159.16105341730386</v>
      </c>
    </row>
    <row r="13" spans="1:12" x14ac:dyDescent="0.35">
      <c r="A13">
        <v>10.5</v>
      </c>
      <c r="B13">
        <f t="shared" si="1"/>
        <v>139.5</v>
      </c>
      <c r="C13" s="7">
        <f t="shared" si="2"/>
        <v>169.34063304475981</v>
      </c>
      <c r="D13" s="4">
        <f t="shared" si="3"/>
        <v>2.9072806173447492</v>
      </c>
      <c r="E13" s="18">
        <f t="shared" si="4"/>
        <v>348.40701671909375</v>
      </c>
      <c r="G13">
        <f t="shared" si="9"/>
        <v>10.5</v>
      </c>
      <c r="H13" s="4">
        <f t="shared" si="5"/>
        <v>45.095000000000006</v>
      </c>
      <c r="I13" s="4">
        <f t="shared" si="6"/>
        <v>34.534661571399354</v>
      </c>
      <c r="J13" s="4">
        <f t="shared" si="7"/>
        <v>1.6912402240238793</v>
      </c>
      <c r="K13" s="4">
        <f t="shared" si="0"/>
        <v>8.8690982045767726</v>
      </c>
      <c r="L13" s="18">
        <f t="shared" si="8"/>
        <v>153.34010914612008</v>
      </c>
    </row>
    <row r="14" spans="1:12" x14ac:dyDescent="0.35">
      <c r="A14">
        <v>11</v>
      </c>
      <c r="B14">
        <f t="shared" si="1"/>
        <v>145.5</v>
      </c>
      <c r="C14" s="7">
        <f t="shared" si="2"/>
        <v>174.31652245269237</v>
      </c>
      <c r="D14" s="4">
        <f t="shared" si="3"/>
        <v>2.8244282356725536</v>
      </c>
      <c r="E14" s="18">
        <f t="shared" si="4"/>
        <v>347.59746673023562</v>
      </c>
      <c r="G14">
        <f t="shared" si="9"/>
        <v>11</v>
      </c>
      <c r="H14" s="4">
        <f t="shared" si="5"/>
        <v>44.569999999999993</v>
      </c>
      <c r="I14" s="4">
        <f t="shared" si="6"/>
        <v>33.416581395312932</v>
      </c>
      <c r="J14" s="4">
        <f t="shared" si="7"/>
        <v>1.6429903853139185</v>
      </c>
      <c r="K14" s="4">
        <f t="shared" si="0"/>
        <v>9.5104282193731429</v>
      </c>
      <c r="L14" s="18">
        <f t="shared" si="8"/>
        <v>147.0736784671937</v>
      </c>
    </row>
    <row r="15" spans="1:12" x14ac:dyDescent="0.35">
      <c r="A15">
        <v>11.5</v>
      </c>
      <c r="B15">
        <f t="shared" si="1"/>
        <v>151.5</v>
      </c>
      <c r="C15" s="7">
        <f t="shared" si="2"/>
        <v>179.35509471436822</v>
      </c>
      <c r="D15" s="4">
        <f t="shared" si="3"/>
        <v>2.7452054944084896</v>
      </c>
      <c r="E15" s="18">
        <f t="shared" si="4"/>
        <v>346.82338193009821</v>
      </c>
      <c r="G15">
        <f t="shared" si="9"/>
        <v>11.5</v>
      </c>
      <c r="H15" s="4">
        <f t="shared" si="5"/>
        <v>44.160000000000011</v>
      </c>
      <c r="I15" s="4">
        <f t="shared" si="6"/>
        <v>32.360937559369901</v>
      </c>
      <c r="J15" s="4">
        <f t="shared" si="7"/>
        <v>1.5968585611134558</v>
      </c>
      <c r="K15" s="4">
        <f t="shared" si="0"/>
        <v>10.202203879516654</v>
      </c>
      <c r="L15" s="18">
        <f t="shared" si="8"/>
        <v>140.31434377266169</v>
      </c>
    </row>
    <row r="16" spans="1:12" x14ac:dyDescent="0.35">
      <c r="A16">
        <v>12</v>
      </c>
      <c r="B16">
        <f t="shared" si="1"/>
        <v>157.5</v>
      </c>
      <c r="C16" s="7">
        <f t="shared" si="2"/>
        <v>184.45121306188258</v>
      </c>
      <c r="D16" s="4">
        <f t="shared" si="3"/>
        <v>2.669470733194057</v>
      </c>
      <c r="E16" s="18">
        <f t="shared" si="4"/>
        <v>346.08337815639993</v>
      </c>
      <c r="G16">
        <f t="shared" si="9"/>
        <v>12</v>
      </c>
      <c r="H16" s="4">
        <f t="shared" si="5"/>
        <v>43.865000000000009</v>
      </c>
      <c r="I16" s="4">
        <f t="shared" si="6"/>
        <v>31.36330221395006</v>
      </c>
      <c r="J16" s="4">
        <f t="shared" si="7"/>
        <v>1.552761590641605</v>
      </c>
      <c r="K16" s="4">
        <f t="shared" si="0"/>
        <v>10.948936195408344</v>
      </c>
      <c r="L16" s="18">
        <f t="shared" si="8"/>
        <v>133.0180280143307</v>
      </c>
    </row>
    <row r="17" spans="1:12" x14ac:dyDescent="0.35">
      <c r="A17">
        <v>12.5</v>
      </c>
      <c r="B17">
        <f t="shared" si="1"/>
        <v>163.5</v>
      </c>
      <c r="C17" s="7">
        <f t="shared" si="2"/>
        <v>189.6002373416236</v>
      </c>
      <c r="D17" s="4">
        <f t="shared" si="3"/>
        <v>2.5970758438794479</v>
      </c>
      <c r="E17" s="18">
        <f t="shared" si="4"/>
        <v>345.37600824553965</v>
      </c>
      <c r="G17">
        <f t="shared" si="9"/>
        <v>12.5</v>
      </c>
      <c r="H17" s="4">
        <f t="shared" si="5"/>
        <v>43.685000000000002</v>
      </c>
      <c r="I17" s="4">
        <f t="shared" si="6"/>
        <v>30.419579602796222</v>
      </c>
      <c r="J17" s="4">
        <f t="shared" si="7"/>
        <v>1.5106126408599334</v>
      </c>
      <c r="K17" s="4">
        <f t="shared" si="0"/>
        <v>11.754807756343846</v>
      </c>
      <c r="L17" s="18">
        <f t="shared" si="8"/>
        <v>125.1438631441212</v>
      </c>
    </row>
    <row r="18" spans="1:12" x14ac:dyDescent="0.35">
      <c r="A18">
        <v>13</v>
      </c>
      <c r="B18">
        <f t="shared" si="1"/>
        <v>169.5</v>
      </c>
      <c r="C18" s="7">
        <f t="shared" si="2"/>
        <v>194.79797226870716</v>
      </c>
      <c r="D18" s="4">
        <f t="shared" si="3"/>
        <v>2.527869981559467</v>
      </c>
      <c r="E18" s="18">
        <f t="shared" si="4"/>
        <v>344.69979829310012</v>
      </c>
      <c r="G18">
        <f t="shared" si="9"/>
        <v>13</v>
      </c>
      <c r="H18" s="4">
        <f t="shared" si="5"/>
        <v>43.620000000000005</v>
      </c>
      <c r="I18" s="4">
        <f t="shared" si="6"/>
        <v>29.525987311241739</v>
      </c>
      <c r="J18" s="4">
        <f t="shared" si="7"/>
        <v>1.470323360035517</v>
      </c>
      <c r="K18" s="4">
        <f t="shared" si="0"/>
        <v>12.623689328722749</v>
      </c>
      <c r="L18" s="18">
        <f t="shared" si="8"/>
        <v>116.65402793309069</v>
      </c>
    </row>
    <row r="19" spans="1:12" x14ac:dyDescent="0.35">
      <c r="A19">
        <v>13.5</v>
      </c>
      <c r="B19">
        <f t="shared" si="1"/>
        <v>175.5</v>
      </c>
      <c r="C19" s="7">
        <f t="shared" si="2"/>
        <v>200.0406208748613</v>
      </c>
      <c r="D19" s="4">
        <f t="shared" si="3"/>
        <v>2.4617023623317462</v>
      </c>
      <c r="E19" s="18">
        <f t="shared" si="4"/>
        <v>344.0532749907224</v>
      </c>
      <c r="G19">
        <f t="shared" si="9"/>
        <v>13.5</v>
      </c>
      <c r="H19" s="4">
        <f t="shared" si="5"/>
        <v>43.67</v>
      </c>
      <c r="I19" s="4">
        <f t="shared" si="6"/>
        <v>28.679036269380642</v>
      </c>
      <c r="J19" s="4">
        <f t="shared" si="7"/>
        <v>1.4318054992958502</v>
      </c>
      <c r="K19" s="4">
        <f t="shared" si="0"/>
        <v>13.55915823132351</v>
      </c>
      <c r="L19" s="18">
        <f t="shared" si="8"/>
        <v>107.51356842676265</v>
      </c>
    </row>
    <row r="20" spans="1:12" x14ac:dyDescent="0.35">
      <c r="A20">
        <v>14</v>
      </c>
      <c r="B20">
        <f t="shared" si="1"/>
        <v>181.5</v>
      </c>
      <c r="C20" s="7">
        <f t="shared" si="2"/>
        <v>205.32474278566625</v>
      </c>
      <c r="D20" s="4">
        <f t="shared" si="3"/>
        <v>2.3984243351332979</v>
      </c>
      <c r="E20" s="18">
        <f t="shared" si="4"/>
        <v>343.43498587000477</v>
      </c>
      <c r="G20">
        <f t="shared" si="9"/>
        <v>14</v>
      </c>
      <c r="H20" s="4">
        <f t="shared" si="5"/>
        <v>43.835000000000001</v>
      </c>
      <c r="I20" s="4">
        <f t="shared" si="6"/>
        <v>27.875510386527491</v>
      </c>
      <c r="J20" s="4">
        <f t="shared" si="7"/>
        <v>1.3949721116565863</v>
      </c>
      <c r="K20" s="4">
        <f t="shared" si="0"/>
        <v>14.564517501815924</v>
      </c>
      <c r="L20" s="18">
        <f t="shared" si="8"/>
        <v>97.690210669279509</v>
      </c>
    </row>
  </sheetData>
  <printOptions gridLines="1"/>
  <pageMargins left="0.7" right="0.7" top="0.75" bottom="0.75" header="0.3" footer="0.3"/>
  <pageSetup orientation="landscape" horizontalDpi="4294967295" verticalDpi="4294967295" r:id="rId1"/>
  <headerFooter>
    <oddHeader>&amp;CX &amp; Y Offset Angles and Screen Position
( At Various Distances)</oddHeader>
    <oddFooter>&amp;L&amp;F &amp;A&amp;R&amp;D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zoomScale="85" zoomScaleNormal="85" workbookViewId="0">
      <selection activeCell="D16" sqref="D16"/>
    </sheetView>
  </sheetViews>
  <sheetFormatPr defaultRowHeight="14.5" x14ac:dyDescent="0.35"/>
  <cols>
    <col min="1" max="1" width="12.90625" bestFit="1" customWidth="1"/>
    <col min="2" max="2" width="11.1796875" style="2" customWidth="1"/>
    <col min="3" max="3" width="3.1796875" customWidth="1"/>
    <col min="4" max="5" width="11.7265625" bestFit="1" customWidth="1"/>
    <col min="6" max="6" width="2.6328125" customWidth="1"/>
    <col min="7" max="8" width="8.81640625" bestFit="1" customWidth="1"/>
    <col min="9" max="9" width="2.81640625" customWidth="1"/>
    <col min="10" max="11" width="9" bestFit="1" customWidth="1"/>
    <col min="12" max="12" width="2.81640625" customWidth="1"/>
    <col min="13" max="14" width="12.54296875" bestFit="1" customWidth="1"/>
    <col min="15" max="15" width="3.453125" customWidth="1"/>
    <col min="16" max="17" width="9" style="15" bestFit="1" customWidth="1"/>
    <col min="18" max="18" width="3.453125" customWidth="1"/>
    <col min="19" max="20" width="8.81640625" bestFit="1" customWidth="1"/>
    <col min="21" max="21" width="3.36328125" customWidth="1"/>
    <col min="22" max="22" width="8.81640625" bestFit="1" customWidth="1"/>
    <col min="23" max="23" width="9.90625" bestFit="1" customWidth="1"/>
  </cols>
  <sheetData>
    <row r="1" spans="1:23" ht="21" x14ac:dyDescent="0.5">
      <c r="A1" s="8" t="s">
        <v>56</v>
      </c>
      <c r="B1" s="11">
        <v>93</v>
      </c>
      <c r="D1" s="9" t="s">
        <v>61</v>
      </c>
      <c r="E1" s="9"/>
      <c r="F1" s="9"/>
      <c r="G1" s="9" t="s">
        <v>62</v>
      </c>
      <c r="H1" s="9"/>
      <c r="I1" s="9"/>
      <c r="J1" s="9" t="s">
        <v>67</v>
      </c>
      <c r="K1" s="9"/>
      <c r="L1" s="9"/>
      <c r="M1" s="9" t="s">
        <v>68</v>
      </c>
      <c r="N1" s="9"/>
      <c r="O1" s="9"/>
      <c r="P1" s="13" t="s">
        <v>73</v>
      </c>
      <c r="Q1" s="13"/>
      <c r="R1" s="9"/>
      <c r="S1" s="9" t="s">
        <v>76</v>
      </c>
      <c r="T1" s="9"/>
      <c r="U1" s="10"/>
      <c r="V1" s="9" t="s">
        <v>79</v>
      </c>
      <c r="W1" s="10"/>
    </row>
    <row r="2" spans="1:23" ht="18.5" x14ac:dyDescent="0.45">
      <c r="A2" s="8" t="s">
        <v>86</v>
      </c>
      <c r="B2" s="11">
        <v>640</v>
      </c>
      <c r="D2" s="10" t="s">
        <v>63</v>
      </c>
      <c r="E2" s="10" t="s">
        <v>64</v>
      </c>
      <c r="F2" s="10"/>
      <c r="G2" s="10" t="s">
        <v>65</v>
      </c>
      <c r="H2" s="10" t="s">
        <v>66</v>
      </c>
      <c r="I2" s="10"/>
      <c r="J2" s="10" t="s">
        <v>69</v>
      </c>
      <c r="K2" s="10" t="s">
        <v>70</v>
      </c>
      <c r="L2" s="10"/>
      <c r="M2" s="10" t="s">
        <v>71</v>
      </c>
      <c r="N2" s="10" t="s">
        <v>72</v>
      </c>
      <c r="O2" s="10"/>
      <c r="P2" s="14" t="s">
        <v>74</v>
      </c>
      <c r="Q2" s="14" t="s">
        <v>75</v>
      </c>
      <c r="R2" s="10"/>
      <c r="S2" s="10" t="s">
        <v>77</v>
      </c>
      <c r="T2" s="10" t="s">
        <v>78</v>
      </c>
      <c r="U2" s="10"/>
      <c r="V2" s="10" t="s">
        <v>80</v>
      </c>
      <c r="W2" s="10" t="s">
        <v>81</v>
      </c>
    </row>
    <row r="3" spans="1:23" ht="18.5" x14ac:dyDescent="0.45">
      <c r="A3" s="8" t="s">
        <v>87</v>
      </c>
      <c r="B3" s="11">
        <v>480</v>
      </c>
    </row>
    <row r="4" spans="1:23" ht="18.5" x14ac:dyDescent="0.45">
      <c r="A4" s="8" t="s">
        <v>85</v>
      </c>
      <c r="B4" s="11">
        <v>65.430000000000007</v>
      </c>
    </row>
    <row r="5" spans="1:23" ht="18.5" x14ac:dyDescent="0.45">
      <c r="A5" s="8" t="s">
        <v>82</v>
      </c>
      <c r="B5" s="11">
        <v>320</v>
      </c>
    </row>
    <row r="6" spans="1:23" ht="18.5" x14ac:dyDescent="0.45">
      <c r="A6" s="8" t="s">
        <v>83</v>
      </c>
      <c r="B6" s="11">
        <v>240</v>
      </c>
    </row>
    <row r="7" spans="1:23" ht="18.5" x14ac:dyDescent="0.45">
      <c r="A7" s="8" t="s">
        <v>84</v>
      </c>
      <c r="B7" s="11">
        <f>+B4/B2</f>
        <v>0.10223437500000002</v>
      </c>
    </row>
    <row r="8" spans="1:23" ht="18.5" x14ac:dyDescent="0.45">
      <c r="A8" s="8" t="s">
        <v>88</v>
      </c>
      <c r="B8" s="11">
        <v>8.6</v>
      </c>
    </row>
    <row r="9" spans="1:23" ht="18.5" x14ac:dyDescent="0.45">
      <c r="A9" s="8" t="s">
        <v>89</v>
      </c>
      <c r="B9" s="11">
        <v>-5</v>
      </c>
    </row>
    <row r="10" spans="1:23" ht="18.5" x14ac:dyDescent="0.45">
      <c r="A10" s="8" t="s">
        <v>136</v>
      </c>
      <c r="B10" s="11">
        <v>130.16366972898891</v>
      </c>
    </row>
    <row r="11" spans="1:23" ht="18.5" x14ac:dyDescent="0.45">
      <c r="A11" s="8"/>
      <c r="B11" s="11"/>
    </row>
    <row r="12" spans="1:23" ht="18.5" x14ac:dyDescent="0.45">
      <c r="A12" s="8"/>
    </row>
    <row r="13" spans="1:23" ht="18.5" x14ac:dyDescent="0.45">
      <c r="A13" s="8" t="s">
        <v>58</v>
      </c>
      <c r="B13" s="11">
        <v>319</v>
      </c>
    </row>
    <row r="14" spans="1:23" ht="18.5" x14ac:dyDescent="0.45">
      <c r="A14" s="8" t="s">
        <v>57</v>
      </c>
      <c r="B14" s="11">
        <v>261</v>
      </c>
    </row>
    <row r="15" spans="1:23" ht="18.5" x14ac:dyDescent="0.45">
      <c r="A15" s="8" t="s">
        <v>59</v>
      </c>
      <c r="B15" s="11">
        <v>0</v>
      </c>
    </row>
    <row r="16" spans="1:23" ht="18.5" x14ac:dyDescent="0.45">
      <c r="A16" s="8" t="s">
        <v>60</v>
      </c>
      <c r="B16" s="11">
        <v>49.4</v>
      </c>
      <c r="D16" s="12">
        <f>+($B13-$B$5)*$B$7</f>
        <v>-0.10223437500000002</v>
      </c>
      <c r="E16" s="12">
        <f>+($B14-$B$6)*$B$7</f>
        <v>2.1469218750000003</v>
      </c>
      <c r="F16" s="12"/>
      <c r="G16" s="12">
        <f>+D16+B15</f>
        <v>-0.10223437500000002</v>
      </c>
      <c r="H16" s="12">
        <f>+E16+B16</f>
        <v>51.546921874999995</v>
      </c>
      <c r="I16" s="12"/>
      <c r="J16" s="12">
        <f>+$B$1/(TAN(RADIANS(H16)))</f>
        <v>73.851270845589397</v>
      </c>
      <c r="K16" s="12">
        <f>+SQRT((J16*J16)+(B$1*B$1))</f>
        <v>118.75609544570166</v>
      </c>
      <c r="L16" s="12"/>
      <c r="M16" s="12">
        <f>+DEGREES(ATAN($B$8/$B$10))</f>
        <v>3.7800761168494907</v>
      </c>
      <c r="N16" s="12">
        <f>+DEGREES(ATAN($B$9/$B$10))</f>
        <v>-2.1998313048738805</v>
      </c>
      <c r="O16" s="12"/>
      <c r="P16" s="16">
        <f>+(M16/$B$7)+$B$5</f>
        <v>356.97460973228908</v>
      </c>
      <c r="Q16" s="16">
        <f>+(N16/$B$7)+$B$6</f>
        <v>218.48246927832366</v>
      </c>
      <c r="R16" s="12"/>
      <c r="S16" s="12">
        <f>+D16+M16</f>
        <v>3.6778417418494906</v>
      </c>
      <c r="T16" s="12">
        <f>+E16+N16</f>
        <v>-5.2909429873880143E-2</v>
      </c>
      <c r="U16" s="12"/>
      <c r="V16" s="12">
        <f>+B15+S16</f>
        <v>3.6778417418494906</v>
      </c>
      <c r="W16" s="12">
        <f>+B16+T16</f>
        <v>49.34709057012612</v>
      </c>
    </row>
    <row r="17" spans="1:23" ht="15.5" customHeight="1" x14ac:dyDescent="0.45">
      <c r="A17" s="8"/>
      <c r="B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6"/>
      <c r="Q17" s="16"/>
      <c r="R17" s="12"/>
      <c r="S17" s="12"/>
      <c r="T17" s="12"/>
      <c r="U17" s="12"/>
      <c r="V17" s="12"/>
      <c r="W17" s="12"/>
    </row>
    <row r="18" spans="1:23" ht="18.5" x14ac:dyDescent="0.45">
      <c r="A18" s="8" t="s">
        <v>58</v>
      </c>
      <c r="B18" s="11">
        <v>343</v>
      </c>
    </row>
    <row r="19" spans="1:23" ht="18.5" x14ac:dyDescent="0.45">
      <c r="A19" s="8" t="s">
        <v>57</v>
      </c>
      <c r="B19" s="11">
        <v>155</v>
      </c>
    </row>
    <row r="20" spans="1:23" ht="18.5" x14ac:dyDescent="0.45">
      <c r="A20" s="8" t="s">
        <v>59</v>
      </c>
      <c r="B20" s="11">
        <v>65</v>
      </c>
    </row>
    <row r="21" spans="1:23" ht="18.5" x14ac:dyDescent="0.45">
      <c r="A21" s="8" t="s">
        <v>60</v>
      </c>
      <c r="B21" s="11">
        <v>48</v>
      </c>
      <c r="D21" s="12">
        <f>+($B18-$B$5)*$B$7</f>
        <v>2.3513906250000005</v>
      </c>
      <c r="E21" s="12">
        <f>+($B19-$B$6)*$B$7</f>
        <v>-8.6899218750000014</v>
      </c>
      <c r="F21" s="12"/>
      <c r="G21" s="12">
        <f>+D21+B20</f>
        <v>67.351390624999993</v>
      </c>
      <c r="H21" s="12">
        <f>+E21+B21</f>
        <v>39.310078124999997</v>
      </c>
      <c r="I21" s="12"/>
      <c r="J21" s="12">
        <f>+$B$1/(TAN(RADIANS(H21)))</f>
        <v>113.58302893894786</v>
      </c>
      <c r="K21" s="12">
        <f>+SQRT((J21*J21)+(B$1*B$1))</f>
        <v>146.79953836080639</v>
      </c>
      <c r="L21" s="12"/>
      <c r="M21" s="12">
        <f>+DEGREES(ATAN($B$8/$B$10))</f>
        <v>3.7800761168494907</v>
      </c>
      <c r="N21" s="12">
        <f>+DEGREES(ATAN($B$9/$B$10))</f>
        <v>-2.1998313048738805</v>
      </c>
      <c r="O21" s="12"/>
      <c r="P21" s="16">
        <f>+(M21/$B$7)+$B$5</f>
        <v>356.97460973228908</v>
      </c>
      <c r="Q21" s="16">
        <f>+(N21/$B$7)+$B$6</f>
        <v>218.48246927832366</v>
      </c>
      <c r="R21" s="12"/>
      <c r="S21" s="12">
        <f>+D21+M21</f>
        <v>6.1314667418494917</v>
      </c>
      <c r="T21" s="12">
        <f>+E21+N21</f>
        <v>-10.889753179873882</v>
      </c>
      <c r="U21" s="12"/>
      <c r="V21" s="12">
        <f>+B20+S21</f>
        <v>71.131466741849493</v>
      </c>
      <c r="W21" s="12">
        <f>+B21+T21</f>
        <v>37.110246820126122</v>
      </c>
    </row>
    <row r="22" spans="1:23" ht="18.5" x14ac:dyDescent="0.45">
      <c r="A22" s="8"/>
      <c r="B22" s="11"/>
    </row>
    <row r="23" spans="1:23" ht="18.5" x14ac:dyDescent="0.45">
      <c r="A23" s="8" t="s">
        <v>58</v>
      </c>
      <c r="B23" s="11">
        <v>100</v>
      </c>
    </row>
    <row r="24" spans="1:23" ht="18.5" x14ac:dyDescent="0.45">
      <c r="A24" s="8" t="s">
        <v>57</v>
      </c>
      <c r="B24" s="11">
        <v>400</v>
      </c>
    </row>
    <row r="25" spans="1:23" ht="18.5" x14ac:dyDescent="0.45">
      <c r="A25" s="8" t="s">
        <v>59</v>
      </c>
      <c r="B25" s="11">
        <v>65</v>
      </c>
    </row>
    <row r="26" spans="1:23" ht="18.5" x14ac:dyDescent="0.45">
      <c r="A26" s="8" t="s">
        <v>60</v>
      </c>
      <c r="B26" s="11">
        <v>45</v>
      </c>
      <c r="D26" s="12">
        <f>+($B23-$B$5)*$B$7</f>
        <v>-22.491562500000004</v>
      </c>
      <c r="E26" s="12">
        <f>+($B24-$B$6)*$B$7</f>
        <v>16.357500000000002</v>
      </c>
      <c r="F26" s="12"/>
      <c r="G26" s="12">
        <f>+D26+B25</f>
        <v>42.508437499999999</v>
      </c>
      <c r="H26" s="12">
        <f>+E26+B26</f>
        <v>61.357500000000002</v>
      </c>
      <c r="I26" s="12"/>
      <c r="J26" s="12">
        <f>+$B$1/(TAN(RADIANS(H26)))</f>
        <v>50.79477278881604</v>
      </c>
      <c r="K26" s="12">
        <f>+SQRT((J26*J26)+(B$1*B$1))</f>
        <v>105.9674900272128</v>
      </c>
      <c r="L26" s="12"/>
      <c r="M26" s="12">
        <f>+DEGREES(ATAN($B$8/$B$10))</f>
        <v>3.7800761168494907</v>
      </c>
      <c r="N26" s="12">
        <f>+DEGREES(ATAN($B$9/$B$10))</f>
        <v>-2.1998313048738805</v>
      </c>
      <c r="O26" s="12"/>
      <c r="P26" s="16">
        <f>+(M26/$B$7)+$B$5</f>
        <v>356.97460973228908</v>
      </c>
      <c r="Q26" s="16">
        <f>+(N26/$B$7)+$B$6</f>
        <v>218.48246927832366</v>
      </c>
      <c r="R26" s="12"/>
      <c r="S26" s="12">
        <f>+D26+M26</f>
        <v>-18.711486383150515</v>
      </c>
      <c r="T26" s="12">
        <f>+E26+N26</f>
        <v>14.157668695126121</v>
      </c>
      <c r="U26" s="12"/>
      <c r="V26" s="12">
        <f>+B25+S26</f>
        <v>46.288513616849485</v>
      </c>
      <c r="W26" s="12">
        <f>+B26+T26</f>
        <v>59.157668695126119</v>
      </c>
    </row>
    <row r="27" spans="1:23" ht="18.5" x14ac:dyDescent="0.45">
      <c r="A27" s="8"/>
      <c r="B27" s="11"/>
    </row>
    <row r="28" spans="1:23" ht="18.5" x14ac:dyDescent="0.45">
      <c r="A28" s="8" t="s">
        <v>58</v>
      </c>
      <c r="B28" s="11">
        <v>100</v>
      </c>
    </row>
    <row r="29" spans="1:23" ht="18.5" x14ac:dyDescent="0.45">
      <c r="A29" s="8" t="s">
        <v>57</v>
      </c>
      <c r="B29" s="11">
        <v>100</v>
      </c>
    </row>
    <row r="30" spans="1:23" ht="18.5" x14ac:dyDescent="0.45">
      <c r="A30" s="8" t="s">
        <v>59</v>
      </c>
      <c r="B30" s="11">
        <v>65</v>
      </c>
    </row>
    <row r="31" spans="1:23" ht="18.5" x14ac:dyDescent="0.45">
      <c r="A31" s="8" t="s">
        <v>60</v>
      </c>
      <c r="B31" s="11">
        <v>45</v>
      </c>
      <c r="D31" s="12">
        <f>+($B28-$B$5)*$B$7</f>
        <v>-22.491562500000004</v>
      </c>
      <c r="E31" s="12">
        <f>+($B29-$B$6)*$B$7</f>
        <v>-14.312812500000001</v>
      </c>
      <c r="F31" s="12"/>
      <c r="G31" s="12">
        <f>+D31+B30</f>
        <v>42.508437499999999</v>
      </c>
      <c r="H31" s="12">
        <f>+E31+B31</f>
        <v>30.6871875</v>
      </c>
      <c r="I31" s="12"/>
      <c r="J31" s="12">
        <f>+$B$1/(TAN(RADIANS(H31)))</f>
        <v>156.70966780086329</v>
      </c>
      <c r="K31" s="12">
        <f>+SQRT((J31*J31)+(B$1*B$1))</f>
        <v>182.22765976178513</v>
      </c>
      <c r="L31" s="12"/>
      <c r="M31" s="12">
        <f>+DEGREES(ATAN($B$8/$B$10))</f>
        <v>3.7800761168494907</v>
      </c>
      <c r="N31" s="12">
        <f>+DEGREES(ATAN($B$9/$B$10))</f>
        <v>-2.1998313048738805</v>
      </c>
      <c r="O31" s="12"/>
      <c r="P31" s="16">
        <f>+(M31/$B$7)+$B$5</f>
        <v>356.97460973228908</v>
      </c>
      <c r="Q31" s="16">
        <f>+(N31/$B$7)+$B$6</f>
        <v>218.48246927832366</v>
      </c>
      <c r="R31" s="12"/>
      <c r="S31" s="12">
        <f>+D31+M31</f>
        <v>-18.711486383150515</v>
      </c>
      <c r="T31" s="12">
        <f>+E31+N31</f>
        <v>-16.512643804873882</v>
      </c>
      <c r="U31" s="12"/>
      <c r="V31" s="12">
        <f>+B30+S31</f>
        <v>46.288513616849485</v>
      </c>
      <c r="W31" s="12">
        <f>+B31+T31</f>
        <v>28.487356195126118</v>
      </c>
    </row>
    <row r="32" spans="1:23" ht="18.5" x14ac:dyDescent="0.45">
      <c r="A32" s="8"/>
      <c r="B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6"/>
      <c r="Q32" s="16"/>
      <c r="R32" s="12"/>
      <c r="S32" s="12"/>
      <c r="T32" s="12"/>
      <c r="U32" s="12"/>
      <c r="V32" s="12"/>
      <c r="W32" s="12"/>
    </row>
    <row r="33" spans="1:23" ht="18.5" x14ac:dyDescent="0.45">
      <c r="A33" s="8" t="s">
        <v>58</v>
      </c>
      <c r="B33" s="11">
        <v>400</v>
      </c>
    </row>
    <row r="34" spans="1:23" ht="18.5" x14ac:dyDescent="0.45">
      <c r="A34" s="8" t="s">
        <v>57</v>
      </c>
      <c r="B34" s="11">
        <v>400</v>
      </c>
    </row>
    <row r="35" spans="1:23" ht="18.5" x14ac:dyDescent="0.45">
      <c r="A35" s="8" t="s">
        <v>59</v>
      </c>
      <c r="B35" s="11">
        <v>65</v>
      </c>
    </row>
    <row r="36" spans="1:23" ht="18.5" x14ac:dyDescent="0.45">
      <c r="A36" s="8" t="s">
        <v>60</v>
      </c>
      <c r="B36" s="11">
        <v>45</v>
      </c>
      <c r="D36" s="12">
        <f>+($B33-$B$5)*$B$7</f>
        <v>8.1787500000000009</v>
      </c>
      <c r="E36" s="12">
        <f>+($B34-$B$6)*$B$7</f>
        <v>16.357500000000002</v>
      </c>
      <c r="F36" s="12"/>
      <c r="G36" s="12">
        <f>+D36+B35</f>
        <v>73.178750000000008</v>
      </c>
      <c r="H36" s="12">
        <f>+E36+B36</f>
        <v>61.357500000000002</v>
      </c>
      <c r="I36" s="12"/>
      <c r="J36" s="12">
        <f>+$B$1/(TAN(RADIANS(H36)))</f>
        <v>50.79477278881604</v>
      </c>
      <c r="K36" s="12">
        <f>+SQRT((J36*J36)+(B$1*B$1))</f>
        <v>105.9674900272128</v>
      </c>
      <c r="L36" s="12"/>
      <c r="M36" s="12">
        <f>+DEGREES(ATAN($B$8/$B$10))</f>
        <v>3.7800761168494907</v>
      </c>
      <c r="N36" s="12">
        <f>+DEGREES(ATAN($B$9/$B$10))</f>
        <v>-2.1998313048738805</v>
      </c>
      <c r="O36" s="12"/>
      <c r="P36" s="16">
        <f>+(M36/$B$7)+$B$5</f>
        <v>356.97460973228908</v>
      </c>
      <c r="Q36" s="16">
        <f>+(N36/$B$7)+$B$6</f>
        <v>218.48246927832366</v>
      </c>
      <c r="R36" s="12"/>
      <c r="S36" s="12">
        <f>+D36+M36</f>
        <v>11.958826116849492</v>
      </c>
      <c r="T36" s="12">
        <f>+E36+N36</f>
        <v>14.157668695126121</v>
      </c>
      <c r="U36" s="12"/>
      <c r="V36" s="12">
        <f>+B35+S36</f>
        <v>76.958826116849494</v>
      </c>
      <c r="W36" s="12">
        <f>+B36+T36</f>
        <v>59.157668695126119</v>
      </c>
    </row>
    <row r="38" spans="1:23" x14ac:dyDescent="0.35">
      <c r="A38" t="s">
        <v>90</v>
      </c>
    </row>
    <row r="39" spans="1:23" x14ac:dyDescent="0.35">
      <c r="A39" t="s">
        <v>91</v>
      </c>
    </row>
    <row r="41" spans="1:23" ht="18.5" x14ac:dyDescent="0.45">
      <c r="B41" s="11"/>
    </row>
  </sheetData>
  <printOptions gridLines="1"/>
  <pageMargins left="0.2" right="0.2" top="0.75" bottom="0.75" header="0.3" footer="0.3"/>
  <pageSetup scale="73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topLeftCell="A7" zoomScale="90" zoomScaleNormal="90" workbookViewId="0">
      <selection activeCell="K22" sqref="K22"/>
    </sheetView>
  </sheetViews>
  <sheetFormatPr defaultRowHeight="14.5" x14ac:dyDescent="0.35"/>
  <cols>
    <col min="1" max="1" width="11.81640625" style="2" bestFit="1" customWidth="1"/>
    <col min="2" max="2" width="10.54296875" style="2" bestFit="1" customWidth="1"/>
    <col min="3" max="3" width="8.81640625" style="2" customWidth="1"/>
    <col min="4" max="4" width="15.6328125" style="2" customWidth="1"/>
    <col min="5" max="5" width="13.81640625" style="2" bestFit="1" customWidth="1"/>
    <col min="6" max="6" width="10.26953125" style="2" bestFit="1" customWidth="1"/>
    <col min="7" max="7" width="6.453125" customWidth="1"/>
    <col min="8" max="8" width="11.1796875" style="2" bestFit="1" customWidth="1"/>
    <col min="9" max="9" width="16" style="2" bestFit="1" customWidth="1"/>
    <col min="10" max="10" width="18.7265625" style="2" bestFit="1" customWidth="1"/>
    <col min="11" max="11" width="9.7265625" style="2" bestFit="1" customWidth="1"/>
    <col min="12" max="12" width="10.26953125" style="2" bestFit="1" customWidth="1"/>
    <col min="13" max="13" width="9.26953125" style="2" bestFit="1" customWidth="1"/>
    <col min="14" max="14" width="3.7265625" customWidth="1"/>
    <col min="15" max="15" width="10.1796875" bestFit="1" customWidth="1"/>
  </cols>
  <sheetData>
    <row r="1" spans="1:15" ht="18.5" x14ac:dyDescent="0.45">
      <c r="A1" s="11" t="s">
        <v>137</v>
      </c>
      <c r="B1" s="25">
        <v>-5</v>
      </c>
    </row>
    <row r="2" spans="1:15" ht="18.5" x14ac:dyDescent="0.45">
      <c r="A2" s="11" t="s">
        <v>113</v>
      </c>
      <c r="B2" s="11">
        <v>93</v>
      </c>
    </row>
    <row r="3" spans="1:15" ht="18.5" x14ac:dyDescent="0.45">
      <c r="A3" s="11" t="s">
        <v>138</v>
      </c>
      <c r="B3" s="25">
        <v>8.6</v>
      </c>
    </row>
    <row r="4" spans="1:15" ht="18.5" x14ac:dyDescent="0.45">
      <c r="A4" s="8" t="s">
        <v>84</v>
      </c>
      <c r="B4" s="11">
        <v>0.10223437500000002</v>
      </c>
    </row>
    <row r="5" spans="1:15" ht="18.5" x14ac:dyDescent="0.45">
      <c r="A5" s="8" t="s">
        <v>143</v>
      </c>
      <c r="B5" s="11">
        <v>320</v>
      </c>
    </row>
    <row r="6" spans="1:15" ht="18.5" x14ac:dyDescent="0.45">
      <c r="A6" s="8" t="s">
        <v>144</v>
      </c>
      <c r="B6" s="11">
        <v>240</v>
      </c>
    </row>
    <row r="7" spans="1:15" ht="18.5" x14ac:dyDescent="0.45">
      <c r="A7" s="8"/>
      <c r="B7" s="11"/>
      <c r="D7" s="11" t="s">
        <v>141</v>
      </c>
      <c r="E7" s="11" t="s">
        <v>142</v>
      </c>
    </row>
    <row r="8" spans="1:15" ht="18.5" x14ac:dyDescent="0.45">
      <c r="A8" s="8" t="s">
        <v>140</v>
      </c>
      <c r="B8" s="11">
        <v>378</v>
      </c>
      <c r="D8" s="23">
        <f>+(B8-B5)*B4</f>
        <v>5.9295937500000013</v>
      </c>
    </row>
    <row r="9" spans="1:15" ht="18.5" x14ac:dyDescent="0.45">
      <c r="A9" s="8" t="s">
        <v>139</v>
      </c>
      <c r="B9" s="11">
        <v>197</v>
      </c>
      <c r="E9" s="23">
        <f>+(B9-B6)*B4</f>
        <v>-4.3960781250000007</v>
      </c>
    </row>
    <row r="10" spans="1:15" ht="18.5" x14ac:dyDescent="0.45">
      <c r="A10" s="8" t="s">
        <v>59</v>
      </c>
      <c r="B10" s="11">
        <v>0</v>
      </c>
    </row>
    <row r="11" spans="1:15" ht="18.5" x14ac:dyDescent="0.45">
      <c r="A11" s="8" t="s">
        <v>60</v>
      </c>
      <c r="B11" s="11">
        <v>49.4</v>
      </c>
    </row>
    <row r="13" spans="1:15" ht="18.5" x14ac:dyDescent="0.45">
      <c r="A13" s="11" t="s">
        <v>146</v>
      </c>
      <c r="B13" s="11">
        <v>0</v>
      </c>
      <c r="D13" s="30"/>
    </row>
    <row r="14" spans="1:15" ht="18.5" x14ac:dyDescent="0.45">
      <c r="A14" s="11" t="s">
        <v>145</v>
      </c>
      <c r="B14" s="11">
        <v>52</v>
      </c>
      <c r="D14" s="30"/>
    </row>
    <row r="15" spans="1:15" ht="18.5" x14ac:dyDescent="0.45">
      <c r="A15" s="11"/>
      <c r="B15" s="11"/>
      <c r="C15" s="11"/>
      <c r="D15" s="11"/>
      <c r="E15" s="11"/>
      <c r="F15" s="11"/>
      <c r="G15" s="8"/>
      <c r="H15" s="11"/>
      <c r="I15" s="11"/>
      <c r="J15" s="11"/>
      <c r="K15" s="11"/>
      <c r="L15" s="11" t="s">
        <v>130</v>
      </c>
      <c r="M15" s="11" t="s">
        <v>130</v>
      </c>
    </row>
    <row r="16" spans="1:15" ht="18.5" x14ac:dyDescent="0.45">
      <c r="A16" s="11" t="s">
        <v>114</v>
      </c>
      <c r="B16" s="11" t="s">
        <v>114</v>
      </c>
      <c r="C16" s="11" t="s">
        <v>70</v>
      </c>
      <c r="D16" s="11" t="s">
        <v>132</v>
      </c>
      <c r="E16" s="11" t="s">
        <v>135</v>
      </c>
      <c r="F16" s="11" t="s">
        <v>119</v>
      </c>
      <c r="G16" s="8"/>
      <c r="H16" s="11" t="s">
        <v>120</v>
      </c>
      <c r="I16" s="11" t="s">
        <v>127</v>
      </c>
      <c r="J16" s="11" t="s">
        <v>125</v>
      </c>
      <c r="K16" s="11" t="s">
        <v>40</v>
      </c>
      <c r="L16" s="11" t="s">
        <v>131</v>
      </c>
      <c r="M16" s="11" t="s">
        <v>131</v>
      </c>
      <c r="O16" s="35" t="s">
        <v>148</v>
      </c>
    </row>
    <row r="17" spans="1:18" ht="18.5" x14ac:dyDescent="0.45">
      <c r="A17" s="11" t="s">
        <v>115</v>
      </c>
      <c r="B17" s="11" t="s">
        <v>116</v>
      </c>
      <c r="C17" s="11" t="s">
        <v>116</v>
      </c>
      <c r="D17" s="11" t="s">
        <v>133</v>
      </c>
      <c r="E17" s="11" t="s">
        <v>97</v>
      </c>
      <c r="F17" s="11" t="s">
        <v>118</v>
      </c>
      <c r="G17" s="8"/>
      <c r="H17" s="11" t="s">
        <v>121</v>
      </c>
      <c r="I17" s="11" t="s">
        <v>122</v>
      </c>
      <c r="J17" s="11" t="s">
        <v>128</v>
      </c>
      <c r="K17" s="11" t="s">
        <v>97</v>
      </c>
      <c r="L17" s="11" t="s">
        <v>97</v>
      </c>
      <c r="M17" s="11" t="s">
        <v>8</v>
      </c>
      <c r="Q17" s="11" t="s">
        <v>147</v>
      </c>
      <c r="R17" s="11" t="s">
        <v>147</v>
      </c>
    </row>
    <row r="18" spans="1:18" ht="18.5" x14ac:dyDescent="0.45">
      <c r="A18" s="11"/>
      <c r="B18" s="11"/>
      <c r="C18" s="11"/>
      <c r="D18" s="11" t="s">
        <v>134</v>
      </c>
      <c r="E18" s="11" t="s">
        <v>119</v>
      </c>
      <c r="F18" s="11"/>
      <c r="G18" s="8"/>
      <c r="H18" s="11" t="s">
        <v>124</v>
      </c>
      <c r="I18" s="11" t="s">
        <v>123</v>
      </c>
      <c r="J18" s="11" t="s">
        <v>129</v>
      </c>
      <c r="K18" s="11"/>
      <c r="L18" s="11" t="s">
        <v>119</v>
      </c>
      <c r="M18" s="11"/>
      <c r="O18" s="11" t="s">
        <v>77</v>
      </c>
      <c r="P18" s="11" t="s">
        <v>78</v>
      </c>
      <c r="Q18" s="11" t="s">
        <v>59</v>
      </c>
      <c r="R18" s="11" t="s">
        <v>97</v>
      </c>
    </row>
    <row r="19" spans="1:18" ht="18.5" x14ac:dyDescent="0.45">
      <c r="A19" s="11"/>
      <c r="B19" s="11"/>
      <c r="C19" s="11"/>
      <c r="D19" s="11"/>
      <c r="E19" s="11"/>
      <c r="F19" s="11"/>
      <c r="G19" s="8"/>
      <c r="H19" s="11"/>
      <c r="I19" s="11"/>
      <c r="J19" s="11"/>
      <c r="K19" s="11"/>
      <c r="L19" s="11"/>
      <c r="M19" s="11"/>
    </row>
    <row r="20" spans="1:18" s="8" customFormat="1" ht="18.5" x14ac:dyDescent="0.45">
      <c r="A20" s="11">
        <v>7</v>
      </c>
      <c r="B20" s="11">
        <f>+A20*12+13.5</f>
        <v>97.5</v>
      </c>
      <c r="C20" s="23">
        <f>+SQRT(($B$2*$B$2)+(B20*B20))</f>
        <v>134.74141902176925</v>
      </c>
      <c r="D20" s="23">
        <f>+C20-13.5</f>
        <v>121.24141902176925</v>
      </c>
      <c r="E20" s="23">
        <f t="shared" ref="E20:E25" si="0">+DEGREES(ATAN($B$3/D20))</f>
        <v>4.0573575045916304</v>
      </c>
      <c r="F20" s="33">
        <f>+E20/0.10234375 +320</f>
        <v>359.64440920517012</v>
      </c>
      <c r="H20" s="11">
        <f>+(B20-13.5)/12</f>
        <v>7</v>
      </c>
      <c r="I20" s="24">
        <f>+((0.23*(H20*H20))-(5.995 *H20) + 82.685)</f>
        <v>51.99</v>
      </c>
      <c r="J20" s="24">
        <f>+DEGREES(ATAN($B$2/(B20)))</f>
        <v>43.646808046220308</v>
      </c>
      <c r="K20" s="23">
        <f>+DEGREES(ATAN($B$1/D20))</f>
        <v>-2.3615415975326193</v>
      </c>
      <c r="L20" s="24">
        <f>+I20-J20+K20</f>
        <v>5.9816503562470746</v>
      </c>
      <c r="M20" s="31">
        <f>240 - (L20/0.10234375)</f>
        <v>181.55334003056294</v>
      </c>
      <c r="O20" s="29">
        <f>+$D$8-E20</f>
        <v>1.872236245408371</v>
      </c>
      <c r="P20" s="29">
        <f>-$E$9-L20</f>
        <v>-1.5855722312470739</v>
      </c>
      <c r="Q20" s="29">
        <f>+$B$13+O20</f>
        <v>1.872236245408371</v>
      </c>
      <c r="R20" s="29">
        <f>+$B$14+P20</f>
        <v>50.41442776875293</v>
      </c>
    </row>
    <row r="21" spans="1:18" ht="18.5" x14ac:dyDescent="0.45">
      <c r="A21" s="2">
        <v>7.5</v>
      </c>
      <c r="B21" s="2">
        <f t="shared" ref="B21:B34" si="1">+A21*12+13.5</f>
        <v>103.5</v>
      </c>
      <c r="C21" s="7">
        <f t="shared" ref="C21:C34" si="2">+SQRT(($B$2*$B$2)+(B21*B21))</f>
        <v>139.14470884658172</v>
      </c>
      <c r="D21" s="7">
        <f t="shared" ref="D21:D34" si="3">+C21-13.5</f>
        <v>125.64470884658172</v>
      </c>
      <c r="E21" s="7">
        <f t="shared" si="0"/>
        <v>3.9156154262925438</v>
      </c>
      <c r="F21" s="34">
        <f t="shared" ref="F21:F34" si="4">+E21/0.10234375 +320</f>
        <v>358.25944844011036</v>
      </c>
      <c r="H21" s="2">
        <f>+(B21-13.5)/12</f>
        <v>7.5</v>
      </c>
      <c r="I21" s="22">
        <f t="shared" ref="I21:I34" si="5">+((0.23*(H21*H21))-(5.995 *H21) + 82.685)</f>
        <v>50.660000000000004</v>
      </c>
      <c r="J21" s="22">
        <f t="shared" ref="J21:J34" si="6">+DEGREES(ATAN($B$2/B21))</f>
        <v>41.941302425904176</v>
      </c>
      <c r="K21" s="7">
        <f t="shared" ref="K21:K34" si="7">+DEGREES(ATAN($B$1/D21))</f>
        <v>-2.2788688750533748</v>
      </c>
      <c r="L21" s="22">
        <f t="shared" ref="L21:L34" si="8">+I21-J21+K21</f>
        <v>6.4398286990424527</v>
      </c>
      <c r="M21" s="32">
        <f t="shared" ref="M21:M34" si="9">240 - (L21/0.10234375)</f>
        <v>177.0764829406539</v>
      </c>
      <c r="O21" s="29">
        <f t="shared" ref="O21:O34" si="10">+$D$8-E21</f>
        <v>2.0139783237074576</v>
      </c>
      <c r="P21" s="29">
        <f t="shared" ref="P21:P34" si="11">-$E$9-L21</f>
        <v>-2.043750574042452</v>
      </c>
      <c r="Q21" s="29">
        <f t="shared" ref="Q21:Q34" si="12">+$B$13+O21</f>
        <v>2.0139783237074576</v>
      </c>
      <c r="R21" s="29">
        <f t="shared" ref="R21:R34" si="13">+$B$14+P21</f>
        <v>49.956249425957552</v>
      </c>
    </row>
    <row r="22" spans="1:18" s="8" customFormat="1" ht="18.5" x14ac:dyDescent="0.45">
      <c r="A22" s="25">
        <v>8</v>
      </c>
      <c r="B22" s="25">
        <f t="shared" si="1"/>
        <v>109.5</v>
      </c>
      <c r="C22" s="26">
        <f t="shared" si="2"/>
        <v>143.66366972898891</v>
      </c>
      <c r="D22" s="26">
        <f t="shared" si="3"/>
        <v>130.16366972898891</v>
      </c>
      <c r="E22" s="26">
        <f t="shared" si="0"/>
        <v>3.7800761168494907</v>
      </c>
      <c r="F22" s="33">
        <f t="shared" si="4"/>
        <v>356.93509488219348</v>
      </c>
      <c r="G22" s="28"/>
      <c r="H22" s="25">
        <f t="shared" ref="H22:H34" si="14">+(B22-13.5)/12</f>
        <v>8</v>
      </c>
      <c r="I22" s="27">
        <f t="shared" si="5"/>
        <v>49.445</v>
      </c>
      <c r="J22" s="27">
        <f t="shared" si="6"/>
        <v>40.341745890324383</v>
      </c>
      <c r="K22" s="26">
        <f t="shared" si="7"/>
        <v>-2.1998313048738805</v>
      </c>
      <c r="L22" s="27">
        <f t="shared" si="8"/>
        <v>6.9034228048017372</v>
      </c>
      <c r="M22" s="31">
        <f t="shared" si="9"/>
        <v>172.54670847216624</v>
      </c>
      <c r="O22" s="29">
        <f t="shared" si="10"/>
        <v>2.1495176331505106</v>
      </c>
      <c r="P22" s="29">
        <f>-$E$9-L22</f>
        <v>-2.5073446798017365</v>
      </c>
      <c r="Q22" s="29">
        <f t="shared" si="12"/>
        <v>2.1495176331505106</v>
      </c>
      <c r="R22" s="29">
        <f t="shared" si="13"/>
        <v>49.492655320198267</v>
      </c>
    </row>
    <row r="23" spans="1:18" ht="18.5" x14ac:dyDescent="0.45">
      <c r="A23" s="2">
        <v>8.5</v>
      </c>
      <c r="B23" s="2">
        <f t="shared" si="1"/>
        <v>115.5</v>
      </c>
      <c r="C23" s="7">
        <f t="shared" si="2"/>
        <v>148.28772707139319</v>
      </c>
      <c r="D23" s="7">
        <f t="shared" si="3"/>
        <v>134.78772707139319</v>
      </c>
      <c r="E23" s="7">
        <f t="shared" si="0"/>
        <v>3.6507529084653934</v>
      </c>
      <c r="F23" s="34">
        <f t="shared" si="4"/>
        <v>355.67147880027255</v>
      </c>
      <c r="H23" s="2">
        <f t="shared" si="14"/>
        <v>8.5</v>
      </c>
      <c r="I23" s="22">
        <f t="shared" si="5"/>
        <v>48.344999999999999</v>
      </c>
      <c r="J23" s="22">
        <f t="shared" si="6"/>
        <v>38.84083697085692</v>
      </c>
      <c r="K23" s="7">
        <f t="shared" si="7"/>
        <v>-2.1244337858970002</v>
      </c>
      <c r="L23" s="22">
        <f t="shared" si="8"/>
        <v>7.3797292432460786</v>
      </c>
      <c r="M23" s="32">
        <f t="shared" si="9"/>
        <v>167.89272189805359</v>
      </c>
      <c r="O23" s="29">
        <f t="shared" si="10"/>
        <v>2.278840841534608</v>
      </c>
      <c r="P23" s="29">
        <f t="shared" si="11"/>
        <v>-2.9836511182460779</v>
      </c>
      <c r="Q23" s="29">
        <f t="shared" si="12"/>
        <v>2.278840841534608</v>
      </c>
      <c r="R23" s="29">
        <f t="shared" si="13"/>
        <v>49.01634888175392</v>
      </c>
    </row>
    <row r="24" spans="1:18" s="8" customFormat="1" ht="18.5" x14ac:dyDescent="0.45">
      <c r="A24" s="11">
        <v>9</v>
      </c>
      <c r="B24" s="11">
        <f t="shared" si="1"/>
        <v>121.5</v>
      </c>
      <c r="C24" s="23">
        <f t="shared" si="2"/>
        <v>153.00735276449953</v>
      </c>
      <c r="D24" s="23">
        <f t="shared" si="3"/>
        <v>139.50735276449953</v>
      </c>
      <c r="E24" s="23">
        <f t="shared" si="0"/>
        <v>3.5275628408708406</v>
      </c>
      <c r="F24" s="33">
        <f t="shared" si="4"/>
        <v>354.46778959018837</v>
      </c>
      <c r="H24" s="11">
        <f t="shared" si="14"/>
        <v>9</v>
      </c>
      <c r="I24" s="24">
        <f t="shared" si="5"/>
        <v>47.360000000000007</v>
      </c>
      <c r="J24" s="24">
        <f t="shared" si="6"/>
        <v>37.431602978410567</v>
      </c>
      <c r="K24" s="23">
        <f t="shared" si="7"/>
        <v>-2.0526253442813012</v>
      </c>
      <c r="L24" s="24">
        <f t="shared" si="8"/>
        <v>7.8757716773081388</v>
      </c>
      <c r="M24" s="31">
        <f t="shared" si="9"/>
        <v>163.04589506141667</v>
      </c>
      <c r="O24" s="29">
        <f t="shared" si="10"/>
        <v>2.4020309091291607</v>
      </c>
      <c r="P24" s="29">
        <f t="shared" si="11"/>
        <v>-3.479693552308138</v>
      </c>
      <c r="Q24" s="29">
        <f t="shared" si="12"/>
        <v>2.4020309091291607</v>
      </c>
      <c r="R24" s="29">
        <f t="shared" si="13"/>
        <v>48.520306447691866</v>
      </c>
    </row>
    <row r="25" spans="1:18" ht="18.5" x14ac:dyDescent="0.45">
      <c r="A25" s="2">
        <v>9.5</v>
      </c>
      <c r="B25" s="2">
        <f t="shared" si="1"/>
        <v>127.5</v>
      </c>
      <c r="C25" s="7">
        <f t="shared" si="2"/>
        <v>157.81397276540503</v>
      </c>
      <c r="D25" s="7">
        <f t="shared" si="3"/>
        <v>144.31397276540503</v>
      </c>
      <c r="E25" s="7">
        <f t="shared" si="0"/>
        <v>3.410353482733762</v>
      </c>
      <c r="F25" s="34">
        <f t="shared" si="4"/>
        <v>353.32253784655887</v>
      </c>
      <c r="H25" s="2">
        <f t="shared" si="14"/>
        <v>9.5</v>
      </c>
      <c r="I25" s="22">
        <f t="shared" si="5"/>
        <v>46.49</v>
      </c>
      <c r="J25" s="22">
        <f t="shared" si="6"/>
        <v>36.107451291751872</v>
      </c>
      <c r="K25" s="7">
        <f t="shared" si="7"/>
        <v>-1.9843147931894121</v>
      </c>
      <c r="L25" s="22">
        <f t="shared" si="8"/>
        <v>8.398233915058718</v>
      </c>
      <c r="M25" s="32">
        <f t="shared" si="9"/>
        <v>157.9409205246171</v>
      </c>
      <c r="O25" s="29">
        <f t="shared" si="10"/>
        <v>2.5192402672662393</v>
      </c>
      <c r="P25" s="29">
        <f t="shared" si="11"/>
        <v>-4.0021557900587172</v>
      </c>
      <c r="Q25" s="29">
        <f t="shared" si="12"/>
        <v>2.5192402672662393</v>
      </c>
      <c r="R25" s="29">
        <f t="shared" si="13"/>
        <v>47.997844209941285</v>
      </c>
    </row>
    <row r="26" spans="1:18" s="8" customFormat="1" ht="18.5" x14ac:dyDescent="0.45">
      <c r="A26" s="11">
        <v>10</v>
      </c>
      <c r="B26" s="11">
        <f t="shared" si="1"/>
        <v>133.5</v>
      </c>
      <c r="C26" s="23">
        <f t="shared" si="2"/>
        <v>162.69987707432358</v>
      </c>
      <c r="D26" s="23">
        <f t="shared" si="3"/>
        <v>149.19987707432358</v>
      </c>
      <c r="E26" s="23">
        <f>+DEGREES(ATAN($B$3/D26))</f>
        <v>3.2989241773999565</v>
      </c>
      <c r="F26" s="33">
        <f t="shared" si="4"/>
        <v>352.23376295474765</v>
      </c>
      <c r="H26" s="11">
        <f t="shared" si="14"/>
        <v>10</v>
      </c>
      <c r="I26" s="24">
        <f t="shared" si="5"/>
        <v>45.734999999999999</v>
      </c>
      <c r="J26" s="24">
        <f t="shared" si="6"/>
        <v>34.862196146914869</v>
      </c>
      <c r="K26" s="23">
        <f t="shared" si="7"/>
        <v>-1.9193831189981885</v>
      </c>
      <c r="L26" s="24">
        <f t="shared" si="8"/>
        <v>8.9534207340869418</v>
      </c>
      <c r="M26" s="31">
        <f t="shared" si="9"/>
        <v>152.51619435395963</v>
      </c>
      <c r="O26" s="29">
        <f t="shared" si="10"/>
        <v>2.6306695726000449</v>
      </c>
      <c r="P26" s="29">
        <f t="shared" si="11"/>
        <v>-4.5573426090869411</v>
      </c>
      <c r="Q26" s="29">
        <f t="shared" si="12"/>
        <v>2.6306695726000449</v>
      </c>
      <c r="R26" s="29">
        <f t="shared" si="13"/>
        <v>47.442657390913055</v>
      </c>
    </row>
    <row r="27" spans="1:18" ht="18.5" x14ac:dyDescent="0.45">
      <c r="A27" s="2">
        <v>10.5</v>
      </c>
      <c r="B27" s="2">
        <f t="shared" si="1"/>
        <v>139.5</v>
      </c>
      <c r="C27" s="7">
        <f t="shared" si="2"/>
        <v>167.65813430907551</v>
      </c>
      <c r="D27" s="7">
        <f t="shared" si="3"/>
        <v>154.15813430907551</v>
      </c>
      <c r="E27" s="7">
        <f t="shared" ref="E27:E34" si="15">+DEGREES(ATAN($B$3/D27))</f>
        <v>3.1930425870489034</v>
      </c>
      <c r="F27" s="34">
        <f t="shared" si="4"/>
        <v>351.19919474368396</v>
      </c>
      <c r="H27" s="2">
        <f t="shared" si="14"/>
        <v>10.5</v>
      </c>
      <c r="I27" s="22">
        <f t="shared" si="5"/>
        <v>45.095000000000006</v>
      </c>
      <c r="J27" s="22">
        <f t="shared" si="6"/>
        <v>33.690067525979785</v>
      </c>
      <c r="K27" s="7">
        <f t="shared" si="7"/>
        <v>-1.8576931123529756</v>
      </c>
      <c r="L27" s="22">
        <f t="shared" si="8"/>
        <v>9.5472393616672449</v>
      </c>
      <c r="M27" s="32">
        <f t="shared" si="9"/>
        <v>146.71399707683912</v>
      </c>
      <c r="O27" s="29">
        <f t="shared" si="10"/>
        <v>2.7365511629510979</v>
      </c>
      <c r="P27" s="29">
        <f t="shared" si="11"/>
        <v>-5.1511612366672441</v>
      </c>
      <c r="Q27" s="29">
        <f t="shared" si="12"/>
        <v>2.7365511629510979</v>
      </c>
      <c r="R27" s="29">
        <f t="shared" si="13"/>
        <v>46.848838763332758</v>
      </c>
    </row>
    <row r="28" spans="1:18" s="8" customFormat="1" ht="18.5" x14ac:dyDescent="0.45">
      <c r="A28" s="11">
        <v>11</v>
      </c>
      <c r="B28" s="11">
        <f t="shared" si="1"/>
        <v>145.5</v>
      </c>
      <c r="C28" s="23">
        <f t="shared" si="2"/>
        <v>172.68251214294978</v>
      </c>
      <c r="D28" s="23">
        <f t="shared" si="3"/>
        <v>159.18251214294978</v>
      </c>
      <c r="E28" s="23">
        <f t="shared" si="15"/>
        <v>3.0924573698346149</v>
      </c>
      <c r="F28" s="33">
        <f t="shared" si="4"/>
        <v>350.21637735410923</v>
      </c>
      <c r="H28" s="11">
        <f t="shared" si="14"/>
        <v>11</v>
      </c>
      <c r="I28" s="24">
        <f t="shared" si="5"/>
        <v>44.569999999999993</v>
      </c>
      <c r="J28" s="24">
        <f t="shared" si="6"/>
        <v>32.585707353914408</v>
      </c>
      <c r="K28" s="23">
        <f t="shared" si="7"/>
        <v>-1.7990967368638231</v>
      </c>
      <c r="L28" s="24">
        <f t="shared" si="8"/>
        <v>10.185195909221761</v>
      </c>
      <c r="M28" s="31">
        <f t="shared" si="9"/>
        <v>140.48052852058126</v>
      </c>
      <c r="O28" s="29">
        <f t="shared" si="10"/>
        <v>2.8371363801653864</v>
      </c>
      <c r="P28" s="29">
        <f t="shared" si="11"/>
        <v>-5.7891177842217605</v>
      </c>
      <c r="Q28" s="29">
        <f t="shared" si="12"/>
        <v>2.8371363801653864</v>
      </c>
      <c r="R28" s="29">
        <f t="shared" si="13"/>
        <v>46.210882215778241</v>
      </c>
    </row>
    <row r="29" spans="1:18" ht="18.5" x14ac:dyDescent="0.45">
      <c r="A29" s="2">
        <v>11.5</v>
      </c>
      <c r="B29" s="2">
        <f t="shared" si="1"/>
        <v>151.5</v>
      </c>
      <c r="C29" s="7">
        <f t="shared" si="2"/>
        <v>177.76740421123327</v>
      </c>
      <c r="D29" s="7">
        <f t="shared" si="3"/>
        <v>164.26740421123327</v>
      </c>
      <c r="E29" s="7">
        <f t="shared" si="15"/>
        <v>2.9969077374453468</v>
      </c>
      <c r="F29" s="34">
        <f t="shared" si="4"/>
        <v>349.28276262542016</v>
      </c>
      <c r="H29" s="2">
        <f t="shared" si="14"/>
        <v>11.5</v>
      </c>
      <c r="I29" s="22">
        <f t="shared" si="5"/>
        <v>44.160000000000011</v>
      </c>
      <c r="J29" s="22">
        <f t="shared" si="6"/>
        <v>31.544157021076298</v>
      </c>
      <c r="K29" s="7">
        <f t="shared" si="7"/>
        <v>-1.743440675448706</v>
      </c>
      <c r="L29" s="22">
        <f t="shared" si="8"/>
        <v>10.872402303475006</v>
      </c>
      <c r="M29" s="32">
        <f t="shared" si="9"/>
        <v>133.76584008818315</v>
      </c>
      <c r="O29" s="29">
        <f t="shared" si="10"/>
        <v>2.9326860125546546</v>
      </c>
      <c r="P29" s="29">
        <f t="shared" si="11"/>
        <v>-6.4763241784750054</v>
      </c>
      <c r="Q29" s="29">
        <f t="shared" si="12"/>
        <v>2.9326860125546546</v>
      </c>
      <c r="R29" s="29">
        <f t="shared" si="13"/>
        <v>45.523675821524996</v>
      </c>
    </row>
    <row r="30" spans="1:18" s="8" customFormat="1" ht="18.5" x14ac:dyDescent="0.45">
      <c r="A30" s="11">
        <v>12</v>
      </c>
      <c r="B30" s="11">
        <f t="shared" si="1"/>
        <v>157.5</v>
      </c>
      <c r="C30" s="23">
        <f t="shared" si="2"/>
        <v>182.9077636405847</v>
      </c>
      <c r="D30" s="23">
        <f t="shared" si="3"/>
        <v>169.4077636405847</v>
      </c>
      <c r="E30" s="23">
        <f t="shared" si="15"/>
        <v>2.9061305351589515</v>
      </c>
      <c r="F30" s="33">
        <f t="shared" si="4"/>
        <v>348.39577927483555</v>
      </c>
      <c r="H30" s="11">
        <f t="shared" si="14"/>
        <v>12</v>
      </c>
      <c r="I30" s="24">
        <f t="shared" si="5"/>
        <v>43.865000000000009</v>
      </c>
      <c r="J30" s="24">
        <f t="shared" si="6"/>
        <v>30.560839267371534</v>
      </c>
      <c r="K30" s="23">
        <f t="shared" si="7"/>
        <v>-1.6905704314216949</v>
      </c>
      <c r="L30" s="24">
        <f t="shared" si="8"/>
        <v>11.613590301206781</v>
      </c>
      <c r="M30" s="31">
        <f t="shared" si="9"/>
        <v>126.52369782026962</v>
      </c>
      <c r="O30" s="29">
        <f t="shared" si="10"/>
        <v>3.0234632148410499</v>
      </c>
      <c r="P30" s="29">
        <f t="shared" si="11"/>
        <v>-7.21751217620678</v>
      </c>
      <c r="Q30" s="29">
        <f t="shared" si="12"/>
        <v>3.0234632148410499</v>
      </c>
      <c r="R30" s="29">
        <f t="shared" si="13"/>
        <v>44.782487823793218</v>
      </c>
    </row>
    <row r="31" spans="1:18" ht="18.5" x14ac:dyDescent="0.45">
      <c r="A31" s="2">
        <v>12.5</v>
      </c>
      <c r="B31" s="2">
        <f t="shared" si="1"/>
        <v>163.5</v>
      </c>
      <c r="C31" s="7">
        <f t="shared" si="2"/>
        <v>188.09904305976679</v>
      </c>
      <c r="D31" s="7">
        <f t="shared" si="3"/>
        <v>174.59904305976679</v>
      </c>
      <c r="E31" s="7">
        <f t="shared" si="15"/>
        <v>2.8198653801149609</v>
      </c>
      <c r="F31" s="34">
        <f t="shared" si="4"/>
        <v>347.55288310341336</v>
      </c>
      <c r="H31" s="2">
        <f t="shared" si="14"/>
        <v>12.5</v>
      </c>
      <c r="I31" s="22">
        <f t="shared" si="5"/>
        <v>43.685000000000002</v>
      </c>
      <c r="J31" s="22">
        <f t="shared" si="6"/>
        <v>29.631536678203886</v>
      </c>
      <c r="K31" s="7">
        <f t="shared" si="7"/>
        <v>-1.6403332983559091</v>
      </c>
      <c r="L31" s="22">
        <f t="shared" si="8"/>
        <v>12.413130023440207</v>
      </c>
      <c r="M31" s="32">
        <f t="shared" si="9"/>
        <v>118.71140129768347</v>
      </c>
      <c r="O31" s="29">
        <f t="shared" si="10"/>
        <v>3.1097283698850404</v>
      </c>
      <c r="P31" s="29">
        <f t="shared" si="11"/>
        <v>-8.0170518984402062</v>
      </c>
      <c r="Q31" s="29">
        <f t="shared" si="12"/>
        <v>3.1097283698850404</v>
      </c>
      <c r="R31" s="29">
        <f t="shared" si="13"/>
        <v>43.982948101559792</v>
      </c>
    </row>
    <row r="32" spans="1:18" s="8" customFormat="1" ht="18.5" x14ac:dyDescent="0.45">
      <c r="A32" s="11">
        <v>13</v>
      </c>
      <c r="B32" s="11">
        <f t="shared" si="1"/>
        <v>169.5</v>
      </c>
      <c r="C32" s="23">
        <f t="shared" si="2"/>
        <v>193.33714076710663</v>
      </c>
      <c r="D32" s="23">
        <f t="shared" si="3"/>
        <v>179.83714076710663</v>
      </c>
      <c r="E32" s="23">
        <f t="shared" si="15"/>
        <v>2.7378582953086861</v>
      </c>
      <c r="F32" s="33">
        <f t="shared" si="4"/>
        <v>346.75159250377953</v>
      </c>
      <c r="H32" s="11">
        <f t="shared" si="14"/>
        <v>13</v>
      </c>
      <c r="I32" s="24">
        <f t="shared" si="5"/>
        <v>43.620000000000005</v>
      </c>
      <c r="J32" s="24">
        <f t="shared" si="6"/>
        <v>28.75236842721435</v>
      </c>
      <c r="K32" s="23">
        <f t="shared" si="7"/>
        <v>-1.5925804547560993</v>
      </c>
      <c r="L32" s="24">
        <f t="shared" si="8"/>
        <v>13.275051118029555</v>
      </c>
      <c r="M32" s="31">
        <f t="shared" si="9"/>
        <v>110.2895768620013</v>
      </c>
      <c r="O32" s="29">
        <f t="shared" si="10"/>
        <v>3.1917354546913153</v>
      </c>
      <c r="P32" s="29">
        <f t="shared" si="11"/>
        <v>-8.8789729930295547</v>
      </c>
      <c r="Q32" s="29">
        <f t="shared" si="12"/>
        <v>3.1917354546913153</v>
      </c>
      <c r="R32" s="29">
        <f t="shared" si="13"/>
        <v>43.121027006970444</v>
      </c>
    </row>
    <row r="33" spans="1:18" ht="18.5" x14ac:dyDescent="0.45">
      <c r="A33" s="2">
        <v>13.5</v>
      </c>
      <c r="B33" s="2">
        <f t="shared" si="1"/>
        <v>175.5</v>
      </c>
      <c r="C33" s="7">
        <f t="shared" si="2"/>
        <v>198.61835262633713</v>
      </c>
      <c r="D33" s="7">
        <f t="shared" si="3"/>
        <v>185.11835262633713</v>
      </c>
      <c r="E33" s="7">
        <f t="shared" si="15"/>
        <v>2.659864190805374</v>
      </c>
      <c r="F33" s="34">
        <f t="shared" si="4"/>
        <v>345.98951270405252</v>
      </c>
      <c r="H33" s="2">
        <f t="shared" si="14"/>
        <v>13.5</v>
      </c>
      <c r="I33" s="22">
        <f t="shared" si="5"/>
        <v>43.67</v>
      </c>
      <c r="J33" s="22">
        <f t="shared" si="6"/>
        <v>27.91976642810862</v>
      </c>
      <c r="K33" s="7">
        <f t="shared" si="7"/>
        <v>-1.5471683889418488</v>
      </c>
      <c r="L33" s="22">
        <f t="shared" si="8"/>
        <v>14.203065182949533</v>
      </c>
      <c r="M33" s="32">
        <f t="shared" si="9"/>
        <v>101.22195851774501</v>
      </c>
      <c r="O33" s="29">
        <f t="shared" si="10"/>
        <v>3.2697295591946274</v>
      </c>
      <c r="P33" s="29">
        <f t="shared" si="11"/>
        <v>-9.8069870579495326</v>
      </c>
      <c r="Q33" s="29">
        <f t="shared" si="12"/>
        <v>3.2697295591946274</v>
      </c>
      <c r="R33" s="29">
        <f t="shared" si="13"/>
        <v>42.193012942050466</v>
      </c>
    </row>
    <row r="34" spans="1:18" s="8" customFormat="1" ht="18.5" x14ac:dyDescent="0.45">
      <c r="A34" s="11">
        <v>14</v>
      </c>
      <c r="B34" s="11">
        <f t="shared" si="1"/>
        <v>181.5</v>
      </c>
      <c r="C34" s="23">
        <f t="shared" si="2"/>
        <v>203.93932921337168</v>
      </c>
      <c r="D34" s="23">
        <f t="shared" si="3"/>
        <v>190.43932921337168</v>
      </c>
      <c r="E34" s="23">
        <f t="shared" si="15"/>
        <v>2.585648470949756</v>
      </c>
      <c r="F34" s="33">
        <f t="shared" si="4"/>
        <v>345.2643514718755</v>
      </c>
      <c r="H34" s="11">
        <f t="shared" si="14"/>
        <v>14</v>
      </c>
      <c r="I34" s="24">
        <f t="shared" si="5"/>
        <v>43.835000000000001</v>
      </c>
      <c r="J34" s="24">
        <f t="shared" si="6"/>
        <v>27.130451700346779</v>
      </c>
      <c r="K34" s="23">
        <f t="shared" si="7"/>
        <v>-1.5039598168283719</v>
      </c>
      <c r="L34" s="24">
        <f t="shared" si="8"/>
        <v>15.20058848282485</v>
      </c>
      <c r="M34" s="31">
        <f t="shared" si="9"/>
        <v>91.475165969344971</v>
      </c>
      <c r="O34" s="29">
        <f t="shared" si="10"/>
        <v>3.3439452790502453</v>
      </c>
      <c r="P34" s="29">
        <f t="shared" si="11"/>
        <v>-10.804510357824849</v>
      </c>
      <c r="Q34" s="29">
        <f t="shared" si="12"/>
        <v>3.3439452790502453</v>
      </c>
      <c r="R34" s="29">
        <f t="shared" si="13"/>
        <v>41.195489642175147</v>
      </c>
    </row>
  </sheetData>
  <printOptions gridLines="1"/>
  <pageMargins left="0.42" right="0.28000000000000003" top="1.02" bottom="0.75" header="0.3" footer="0.3"/>
  <pageSetup scale="68" orientation="landscape" horizontalDpi="4294967295" verticalDpi="4294967295" r:id="rId1"/>
  <headerFooter>
    <oddHeader>&amp;C&amp;"-,Bold"&amp;16X &amp; Y Offset Angles and Screen Position&amp;"-,Regular"&amp;11
&amp;"-,Bold Italic"&amp;12( At Various Distances)</oddHeader>
    <oddFooter>&amp;L&amp;F &amp;A&amp;R&amp;D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7"/>
  <sheetViews>
    <sheetView workbookViewId="0">
      <selection activeCell="E16" sqref="E16"/>
    </sheetView>
  </sheetViews>
  <sheetFormatPr defaultRowHeight="14.5" x14ac:dyDescent="0.35"/>
  <cols>
    <col min="1" max="1" width="42.54296875" customWidth="1"/>
    <col min="2" max="2" width="12.453125" bestFit="1" customWidth="1"/>
    <col min="3" max="3" width="14.08984375" customWidth="1"/>
    <col min="4" max="4" width="47.36328125" bestFit="1" customWidth="1"/>
    <col min="5" max="5" width="11.6328125" customWidth="1"/>
  </cols>
  <sheetData>
    <row r="2" spans="1:5" ht="21" x14ac:dyDescent="0.5">
      <c r="A2" s="9" t="s">
        <v>153</v>
      </c>
      <c r="B2" s="39"/>
      <c r="C2" s="39"/>
      <c r="D2" s="9" t="s">
        <v>154</v>
      </c>
    </row>
    <row r="4" spans="1:5" ht="21" x14ac:dyDescent="0.5">
      <c r="A4" s="9" t="s">
        <v>173</v>
      </c>
      <c r="B4" s="9">
        <v>32.65</v>
      </c>
      <c r="C4" s="39"/>
      <c r="D4" s="9" t="s">
        <v>160</v>
      </c>
      <c r="E4" s="9">
        <v>0</v>
      </c>
    </row>
    <row r="5" spans="1:5" ht="18.5" x14ac:dyDescent="0.45">
      <c r="A5" s="5"/>
      <c r="B5" s="8"/>
      <c r="D5" s="5"/>
    </row>
    <row r="6" spans="1:5" ht="18.5" x14ac:dyDescent="0.45">
      <c r="A6" s="5" t="s">
        <v>152</v>
      </c>
      <c r="B6" s="8">
        <v>305</v>
      </c>
      <c r="D6" s="5"/>
    </row>
    <row r="7" spans="1:5" ht="18.5" x14ac:dyDescent="0.45">
      <c r="A7" s="5" t="s">
        <v>149</v>
      </c>
      <c r="B7" s="8">
        <v>360</v>
      </c>
      <c r="D7" s="5"/>
    </row>
    <row r="8" spans="1:5" ht="18.5" x14ac:dyDescent="0.45">
      <c r="A8" s="5" t="s">
        <v>151</v>
      </c>
      <c r="B8" s="8">
        <v>238</v>
      </c>
      <c r="D8" s="5"/>
    </row>
    <row r="9" spans="1:5" ht="18.5" x14ac:dyDescent="0.45">
      <c r="A9" s="5" t="s">
        <v>150</v>
      </c>
      <c r="B9" s="8">
        <v>271</v>
      </c>
      <c r="D9" s="5"/>
    </row>
    <row r="10" spans="1:5" ht="15.5" x14ac:dyDescent="0.35">
      <c r="A10" s="5"/>
      <c r="B10" s="10"/>
      <c r="D10" s="5"/>
    </row>
    <row r="11" spans="1:5" ht="15.5" x14ac:dyDescent="0.35">
      <c r="A11" s="5" t="s">
        <v>163</v>
      </c>
      <c r="B11" s="5">
        <v>240</v>
      </c>
      <c r="D11" s="5" t="s">
        <v>164</v>
      </c>
      <c r="E11" s="5">
        <v>320</v>
      </c>
    </row>
    <row r="12" spans="1:5" ht="15.5" x14ac:dyDescent="0.35">
      <c r="A12" s="5" t="s">
        <v>161</v>
      </c>
      <c r="B12" s="5">
        <f>+B9</f>
        <v>271</v>
      </c>
      <c r="D12" s="5" t="s">
        <v>162</v>
      </c>
      <c r="E12" s="5">
        <f>+ROUND(($B$7-$B$6) / 2 + $B$6,0)</f>
        <v>333</v>
      </c>
    </row>
    <row r="13" spans="1:5" ht="15.5" x14ac:dyDescent="0.35">
      <c r="A13" s="5" t="s">
        <v>156</v>
      </c>
      <c r="B13" s="5">
        <f>+B12-B11</f>
        <v>31</v>
      </c>
      <c r="D13" s="5" t="s">
        <v>155</v>
      </c>
      <c r="E13" s="5">
        <f>+E12-E11</f>
        <v>13</v>
      </c>
    </row>
    <row r="14" spans="1:5" ht="15.5" x14ac:dyDescent="0.35">
      <c r="A14" s="37" t="s">
        <v>158</v>
      </c>
      <c r="B14" s="37">
        <f>0.10234375*B13</f>
        <v>3.1726562499999997</v>
      </c>
      <c r="C14" s="38"/>
      <c r="D14" s="37" t="s">
        <v>157</v>
      </c>
      <c r="E14" s="37">
        <f>0.10234375*E13</f>
        <v>1.3304687499999999</v>
      </c>
    </row>
    <row r="15" spans="1:5" ht="18.5" x14ac:dyDescent="0.45">
      <c r="A15" s="5" t="s">
        <v>176</v>
      </c>
      <c r="B15" s="8">
        <v>0.96975999999999996</v>
      </c>
      <c r="D15" s="5" t="s">
        <v>174</v>
      </c>
      <c r="E15" s="5">
        <v>-1.04434</v>
      </c>
    </row>
    <row r="16" spans="1:5" ht="18.5" x14ac:dyDescent="0.45">
      <c r="A16" s="5" t="s">
        <v>177</v>
      </c>
      <c r="B16" s="8">
        <v>0</v>
      </c>
      <c r="D16" s="5" t="s">
        <v>175</v>
      </c>
      <c r="E16" s="5">
        <f>+DEGREES(ATAN(8.6/($B$21-13.5)))*-1</f>
        <v>-2.9139341644468044</v>
      </c>
    </row>
    <row r="17" spans="1:5" ht="15.5" x14ac:dyDescent="0.35">
      <c r="A17" s="5" t="s">
        <v>170</v>
      </c>
      <c r="B17" s="5">
        <f>+B14+B15+B16</f>
        <v>4.1424162500000001</v>
      </c>
      <c r="D17" s="5" t="s">
        <v>171</v>
      </c>
      <c r="E17" s="5">
        <f>+E14+E15+E16</f>
        <v>-2.6278054144468044</v>
      </c>
    </row>
    <row r="18" spans="1:5" ht="15.5" x14ac:dyDescent="0.35">
      <c r="A18" s="5"/>
      <c r="D18" s="5"/>
    </row>
    <row r="19" spans="1:5" ht="15.5" x14ac:dyDescent="0.35">
      <c r="A19" s="5" t="s">
        <v>172</v>
      </c>
      <c r="B19" s="5">
        <f>+(83.25/TAN(RADIANS(B4-B14))+10.28044)</f>
        <v>157.56017186063218</v>
      </c>
    </row>
    <row r="20" spans="1:5" ht="18.5" x14ac:dyDescent="0.45">
      <c r="B20" s="10"/>
      <c r="D20" s="36" t="s">
        <v>159</v>
      </c>
      <c r="E20" s="36">
        <f>+E$17</f>
        <v>-2.6278054144468044</v>
      </c>
    </row>
    <row r="21" spans="1:5" ht="18.5" x14ac:dyDescent="0.45">
      <c r="A21" s="36" t="s">
        <v>165</v>
      </c>
      <c r="B21" s="36">
        <f>SQRT((92*92)+(B19*B19))</f>
        <v>182.45330294832141</v>
      </c>
      <c r="D21" s="36" t="s">
        <v>168</v>
      </c>
      <c r="E21" s="36">
        <f>+E4+E20</f>
        <v>-2.6278054144468044</v>
      </c>
    </row>
    <row r="25" spans="1:5" x14ac:dyDescent="0.35">
      <c r="A25" t="s">
        <v>166</v>
      </c>
    </row>
    <row r="26" spans="1:5" x14ac:dyDescent="0.35">
      <c r="A26" t="s">
        <v>167</v>
      </c>
    </row>
    <row r="27" spans="1:5" x14ac:dyDescent="0.35">
      <c r="A27" t="s">
        <v>169</v>
      </c>
    </row>
  </sheetData>
  <printOptions gridLines="1"/>
  <pageMargins left="0.7" right="0.36" top="0.89" bottom="0.75" header="0.3" footer="0.3"/>
  <pageSetup scale="99" orientation="portrait" r:id="rId1"/>
  <headerFooter>
    <oddHeader>&amp;C&amp;"-,Bold"&amp;18Auto Vision Calculations</oddHeader>
    <oddFooter>&amp;L&amp;F &amp;A&amp;R&amp;D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zoomScale="75" zoomScaleNormal="75" workbookViewId="0">
      <selection activeCell="C15" sqref="C15"/>
    </sheetView>
  </sheetViews>
  <sheetFormatPr defaultRowHeight="21" x14ac:dyDescent="0.5"/>
  <cols>
    <col min="1" max="1" width="6.7265625" customWidth="1"/>
    <col min="2" max="2" width="8.08984375" bestFit="1" customWidth="1"/>
    <col min="3" max="3" width="60.36328125" customWidth="1"/>
    <col min="4" max="4" width="13" customWidth="1"/>
    <col min="5" max="5" width="7.26953125" customWidth="1"/>
    <col min="6" max="6" width="7.90625" style="45" bestFit="1" customWidth="1"/>
    <col min="7" max="7" width="7.6328125" style="45" bestFit="1" customWidth="1"/>
    <col min="8" max="8" width="51.08984375" customWidth="1"/>
    <col min="9" max="9" width="13" customWidth="1"/>
  </cols>
  <sheetData>
    <row r="1" spans="1:9" x14ac:dyDescent="0.5">
      <c r="C1" s="50" t="s">
        <v>198</v>
      </c>
      <c r="H1" s="50" t="s">
        <v>199</v>
      </c>
    </row>
    <row r="2" spans="1:9" x14ac:dyDescent="0.5">
      <c r="A2" s="45" t="s">
        <v>191</v>
      </c>
      <c r="B2" s="45" t="s">
        <v>192</v>
      </c>
      <c r="C2" s="9"/>
      <c r="D2" s="39"/>
      <c r="E2" s="39"/>
      <c r="F2" s="45" t="s">
        <v>191</v>
      </c>
      <c r="G2" s="45" t="s">
        <v>192</v>
      </c>
    </row>
    <row r="4" spans="1:9" x14ac:dyDescent="0.5">
      <c r="B4" s="46" t="s">
        <v>224</v>
      </c>
      <c r="C4" s="9" t="s">
        <v>173</v>
      </c>
      <c r="D4" s="9">
        <v>32.85</v>
      </c>
      <c r="E4" s="49"/>
      <c r="H4" s="9" t="s">
        <v>160</v>
      </c>
      <c r="I4" s="9">
        <v>0</v>
      </c>
    </row>
    <row r="5" spans="1:9" ht="19.5" customHeight="1" x14ac:dyDescent="0.5">
      <c r="B5" s="46" t="s">
        <v>243</v>
      </c>
      <c r="C5" s="5" t="s">
        <v>179</v>
      </c>
      <c r="D5" s="9">
        <v>92</v>
      </c>
      <c r="F5" s="45" t="s">
        <v>193</v>
      </c>
      <c r="G5" s="46" t="s">
        <v>190</v>
      </c>
      <c r="H5" s="5" t="s">
        <v>180</v>
      </c>
      <c r="I5" s="8">
        <f>D21</f>
        <v>106.54260559741797</v>
      </c>
    </row>
    <row r="6" spans="1:9" x14ac:dyDescent="0.5">
      <c r="C6" s="5"/>
      <c r="D6" s="8"/>
      <c r="H6" s="5"/>
      <c r="I6" s="51"/>
    </row>
    <row r="7" spans="1:9" x14ac:dyDescent="0.5">
      <c r="C7" s="5" t="s">
        <v>151</v>
      </c>
      <c r="D7" s="8">
        <v>217</v>
      </c>
      <c r="F7" s="45">
        <v>248</v>
      </c>
      <c r="H7" s="5" t="s">
        <v>152</v>
      </c>
      <c r="I7" s="8">
        <v>336</v>
      </c>
    </row>
    <row r="8" spans="1:9" x14ac:dyDescent="0.5">
      <c r="C8" s="5" t="s">
        <v>150</v>
      </c>
      <c r="D8" s="8">
        <v>340</v>
      </c>
      <c r="F8" s="45">
        <v>211</v>
      </c>
      <c r="H8" s="5" t="s">
        <v>149</v>
      </c>
      <c r="I8" s="8">
        <v>406</v>
      </c>
    </row>
    <row r="9" spans="1:9" x14ac:dyDescent="0.5">
      <c r="C9" s="5" t="s">
        <v>163</v>
      </c>
      <c r="D9" s="8">
        <v>240</v>
      </c>
      <c r="H9" s="5" t="s">
        <v>164</v>
      </c>
      <c r="I9" s="8">
        <v>320</v>
      </c>
    </row>
    <row r="10" spans="1:9" x14ac:dyDescent="0.5">
      <c r="C10" s="5" t="s">
        <v>161</v>
      </c>
      <c r="D10" s="8">
        <f>+D8</f>
        <v>340</v>
      </c>
      <c r="G10" s="46"/>
      <c r="H10" s="5" t="s">
        <v>212</v>
      </c>
      <c r="I10" s="8">
        <f>+ROUND(((I7+I8) / 2),0)</f>
        <v>371</v>
      </c>
    </row>
    <row r="11" spans="1:9" x14ac:dyDescent="0.5">
      <c r="C11" s="5" t="s">
        <v>248</v>
      </c>
      <c r="D11" s="8">
        <f>+D10-D9</f>
        <v>100</v>
      </c>
      <c r="H11" s="5" t="s">
        <v>213</v>
      </c>
      <c r="I11" s="8">
        <f>+I10-I9</f>
        <v>51</v>
      </c>
    </row>
    <row r="12" spans="1:9" x14ac:dyDescent="0.5">
      <c r="B12" s="46" t="s">
        <v>229</v>
      </c>
      <c r="C12" s="43" t="s">
        <v>233</v>
      </c>
      <c r="D12" s="52">
        <f>0.10234375*D11</f>
        <v>10.234375</v>
      </c>
      <c r="E12" s="44"/>
      <c r="F12" s="48"/>
      <c r="G12" s="46" t="s">
        <v>184</v>
      </c>
      <c r="H12" s="43" t="s">
        <v>214</v>
      </c>
      <c r="I12" s="8">
        <f>0.10234375*I11</f>
        <v>5.2195312500000002</v>
      </c>
    </row>
    <row r="13" spans="1:9" x14ac:dyDescent="0.5">
      <c r="C13" s="5" t="s">
        <v>178</v>
      </c>
      <c r="D13" s="8">
        <v>-1.4328125</v>
      </c>
      <c r="E13">
        <v>0.4</v>
      </c>
      <c r="H13" s="5" t="s">
        <v>203</v>
      </c>
      <c r="I13" s="8">
        <v>-1.23</v>
      </c>
    </row>
    <row r="14" spans="1:9" x14ac:dyDescent="0.5">
      <c r="A14" s="45">
        <v>1</v>
      </c>
      <c r="B14" s="46" t="s">
        <v>229</v>
      </c>
      <c r="C14" s="5" t="s">
        <v>228</v>
      </c>
      <c r="D14" s="8">
        <f>+D12+D13</f>
        <v>8.8015624999999993</v>
      </c>
      <c r="F14" s="45">
        <v>1</v>
      </c>
      <c r="G14" s="46" t="s">
        <v>184</v>
      </c>
      <c r="H14" s="5" t="s">
        <v>215</v>
      </c>
      <c r="I14" s="8">
        <f>+I12+I13</f>
        <v>3.9895312500000002</v>
      </c>
    </row>
    <row r="15" spans="1:9" x14ac:dyDescent="0.5">
      <c r="C15" s="5" t="s">
        <v>263</v>
      </c>
      <c r="D15" s="8">
        <f>+D4+D14</f>
        <v>41.651562499999997</v>
      </c>
      <c r="I15" s="8"/>
    </row>
    <row r="16" spans="1:9" x14ac:dyDescent="0.5">
      <c r="A16" s="45">
        <v>2</v>
      </c>
      <c r="B16" s="46" t="s">
        <v>200</v>
      </c>
      <c r="C16" s="5" t="s">
        <v>208</v>
      </c>
      <c r="D16" s="8">
        <f>13.5*SIN(RADIANS(D$4))</f>
        <v>7.3229607449521037</v>
      </c>
      <c r="F16" s="45">
        <v>2</v>
      </c>
      <c r="G16" s="46" t="s">
        <v>181</v>
      </c>
      <c r="H16" s="5" t="s">
        <v>249</v>
      </c>
      <c r="I16" s="8">
        <f>13.5*COS(RADIANS(D4))</f>
        <v>11.341262977635715</v>
      </c>
    </row>
    <row r="17" spans="1:9" x14ac:dyDescent="0.5">
      <c r="A17" s="45">
        <v>3</v>
      </c>
      <c r="B17" s="46" t="s">
        <v>201</v>
      </c>
      <c r="C17" s="5" t="s">
        <v>209</v>
      </c>
      <c r="D17" s="8">
        <f>13.5*COS(RADIANS(D$4))</f>
        <v>11.341262977635715</v>
      </c>
      <c r="G17" s="46" t="s">
        <v>182</v>
      </c>
      <c r="H17" s="5" t="s">
        <v>250</v>
      </c>
      <c r="I17" s="8">
        <v>8.6</v>
      </c>
    </row>
    <row r="18" spans="1:9" x14ac:dyDescent="0.5">
      <c r="A18" s="45">
        <v>4</v>
      </c>
      <c r="B18" s="45" t="s">
        <v>205</v>
      </c>
      <c r="C18" s="5" t="s">
        <v>210</v>
      </c>
      <c r="D18" s="8">
        <f>+D$5-D$16</f>
        <v>84.677039255047902</v>
      </c>
      <c r="F18" s="45">
        <v>3</v>
      </c>
      <c r="G18" s="46" t="s">
        <v>183</v>
      </c>
      <c r="H18" s="5" t="s">
        <v>251</v>
      </c>
      <c r="I18" s="8">
        <f>SQRT((I16^2)+(I17^2))</f>
        <v>14.23320926312441</v>
      </c>
    </row>
    <row r="19" spans="1:9" x14ac:dyDescent="0.5">
      <c r="A19" s="45">
        <v>5</v>
      </c>
      <c r="B19" s="45" t="s">
        <v>206</v>
      </c>
      <c r="C19" s="5" t="s">
        <v>230</v>
      </c>
      <c r="D19" s="8">
        <f>+((D$18)/TAN(RADIANS(D$4+D$14)))</f>
        <v>95.201342619782253</v>
      </c>
      <c r="F19" s="45">
        <v>4</v>
      </c>
      <c r="G19" s="46" t="s">
        <v>185</v>
      </c>
      <c r="H19" s="5" t="s">
        <v>252</v>
      </c>
      <c r="I19" s="8">
        <f>DEGREES(ATAN(I16/I17))</f>
        <v>52.827213436411107</v>
      </c>
    </row>
    <row r="20" spans="1:9" x14ac:dyDescent="0.5">
      <c r="C20" s="5"/>
      <c r="D20" s="8"/>
      <c r="F20" s="45">
        <v>5</v>
      </c>
      <c r="G20" s="46" t="s">
        <v>186</v>
      </c>
      <c r="H20" s="5" t="s">
        <v>253</v>
      </c>
      <c r="I20" s="8">
        <f>90+I14-I19</f>
        <v>41.162317813588892</v>
      </c>
    </row>
    <row r="21" spans="1:9" x14ac:dyDescent="0.5">
      <c r="A21" s="45">
        <v>6</v>
      </c>
      <c r="B21" s="46" t="s">
        <v>190</v>
      </c>
      <c r="C21" s="5" t="s">
        <v>262</v>
      </c>
      <c r="D21" s="8">
        <f>+D$17+D$19</f>
        <v>106.54260559741797</v>
      </c>
      <c r="F21" s="45">
        <v>6</v>
      </c>
      <c r="G21" s="46" t="s">
        <v>187</v>
      </c>
      <c r="H21" s="5" t="s">
        <v>254</v>
      </c>
      <c r="I21" s="8">
        <f>I18*(SIN(RADIANS(I20)))</f>
        <v>9.3682196387238452</v>
      </c>
    </row>
    <row r="22" spans="1:9" x14ac:dyDescent="0.5">
      <c r="C22" s="5"/>
      <c r="D22" s="51"/>
      <c r="F22" s="45">
        <v>7</v>
      </c>
      <c r="G22" s="46" t="s">
        <v>188</v>
      </c>
      <c r="H22" s="5" t="s">
        <v>255</v>
      </c>
      <c r="I22" s="8">
        <f>DEGREES(ACOS(I21/I5))</f>
        <v>84.955506047083915</v>
      </c>
    </row>
    <row r="23" spans="1:9" x14ac:dyDescent="0.5">
      <c r="C23" s="8"/>
      <c r="D23" s="8"/>
      <c r="F23" s="45">
        <v>8</v>
      </c>
      <c r="G23" s="46" t="s">
        <v>189</v>
      </c>
      <c r="H23" s="36" t="s">
        <v>256</v>
      </c>
      <c r="I23" s="8">
        <f>I22-(90-I20)-(90-I19)</f>
        <v>-1.054962702916086</v>
      </c>
    </row>
    <row r="24" spans="1:9" x14ac:dyDescent="0.5">
      <c r="A24" s="45">
        <v>7</v>
      </c>
      <c r="B24" s="46" t="s">
        <v>181</v>
      </c>
      <c r="C24" s="36" t="s">
        <v>211</v>
      </c>
      <c r="D24" s="8">
        <f>SQRT(((D5*D5)+(D21*D21)))</f>
        <v>140.766923698314</v>
      </c>
      <c r="E24" s="45"/>
      <c r="F24"/>
      <c r="G24"/>
      <c r="H24" s="36" t="s">
        <v>257</v>
      </c>
      <c r="I24" s="8">
        <f>+I23+I4</f>
        <v>-1.054962702916086</v>
      </c>
    </row>
    <row r="25" spans="1:9" x14ac:dyDescent="0.5">
      <c r="C25" s="41"/>
      <c r="D25" s="42"/>
      <c r="E25" s="41"/>
      <c r="F25" s="47"/>
      <c r="G25" s="47"/>
      <c r="H25" s="41"/>
      <c r="I25" s="41"/>
    </row>
    <row r="26" spans="1:9" ht="11.5" customHeight="1" x14ac:dyDescent="0.5">
      <c r="C26" s="5"/>
      <c r="D26" s="5"/>
    </row>
    <row r="27" spans="1:9" x14ac:dyDescent="0.5">
      <c r="C27" s="50" t="s">
        <v>207</v>
      </c>
      <c r="D27" s="5"/>
    </row>
    <row r="28" spans="1:9" x14ac:dyDescent="0.5">
      <c r="A28" s="45">
        <v>1</v>
      </c>
      <c r="B28" s="46" t="s">
        <v>259</v>
      </c>
      <c r="C28" s="5" t="s">
        <v>236</v>
      </c>
      <c r="D28" s="8">
        <f>+(D$21-13.5)/12</f>
        <v>7.7535504664514976</v>
      </c>
      <c r="E28" t="s">
        <v>204</v>
      </c>
    </row>
    <row r="29" spans="1:9" x14ac:dyDescent="0.5">
      <c r="A29" s="45">
        <v>2</v>
      </c>
      <c r="B29" s="46" t="s">
        <v>225</v>
      </c>
      <c r="C29" s="36" t="s">
        <v>261</v>
      </c>
      <c r="D29" s="36">
        <f>(( 0.23 * (D$28^2 )) - ( 5.995 * D$28 ) + 82.685)</f>
        <v>50.029500265859625</v>
      </c>
    </row>
    <row r="30" spans="1:9" x14ac:dyDescent="0.5">
      <c r="A30" s="45"/>
      <c r="B30" s="46"/>
      <c r="C30" s="36" t="s">
        <v>244</v>
      </c>
      <c r="D30" s="36">
        <f>DEGREES(ATAN((D5-3.375)/D21))</f>
        <v>39.754593254209638</v>
      </c>
    </row>
    <row r="31" spans="1:9" x14ac:dyDescent="0.5">
      <c r="A31" s="45">
        <v>3</v>
      </c>
      <c r="B31" s="46" t="s">
        <v>216</v>
      </c>
      <c r="C31" s="5" t="s">
        <v>220</v>
      </c>
      <c r="D31" s="8">
        <f>13.5*SIN(RADIANS(D$29))</f>
        <v>10.346066522646652</v>
      </c>
    </row>
    <row r="32" spans="1:9" x14ac:dyDescent="0.5">
      <c r="A32" s="45">
        <v>4</v>
      </c>
      <c r="B32" s="46" t="s">
        <v>217</v>
      </c>
      <c r="C32" s="5" t="s">
        <v>221</v>
      </c>
      <c r="D32" s="8">
        <f>13.5*COS(RADIANS(D$29))</f>
        <v>8.6723069312017671</v>
      </c>
    </row>
    <row r="33" spans="1:9" x14ac:dyDescent="0.5">
      <c r="A33" s="45">
        <v>5</v>
      </c>
      <c r="B33" s="46" t="s">
        <v>218</v>
      </c>
      <c r="C33" s="5" t="s">
        <v>222</v>
      </c>
      <c r="D33" s="8">
        <f>+D5-D31</f>
        <v>81.653933477353348</v>
      </c>
    </row>
    <row r="34" spans="1:9" x14ac:dyDescent="0.5">
      <c r="A34" s="45">
        <v>6</v>
      </c>
      <c r="B34" s="46" t="s">
        <v>219</v>
      </c>
      <c r="C34" s="5" t="s">
        <v>223</v>
      </c>
      <c r="D34" s="8">
        <f>+D21-D32</f>
        <v>97.8702986662162</v>
      </c>
    </row>
    <row r="35" spans="1:9" ht="11" customHeight="1" x14ac:dyDescent="0.5">
      <c r="C35" s="5"/>
      <c r="D35" s="8"/>
    </row>
    <row r="36" spans="1:9" x14ac:dyDescent="0.5">
      <c r="C36" s="41"/>
      <c r="D36" s="53"/>
      <c r="E36" s="41"/>
      <c r="F36" s="47"/>
      <c r="G36" s="47"/>
      <c r="H36" s="41"/>
      <c r="I36" s="41"/>
    </row>
    <row r="37" spans="1:9" ht="11.5" customHeight="1" x14ac:dyDescent="0.5">
      <c r="C37" s="5"/>
      <c r="D37" s="8"/>
    </row>
    <row r="38" spans="1:9" x14ac:dyDescent="0.5">
      <c r="C38" s="50" t="s">
        <v>202</v>
      </c>
      <c r="D38" s="8"/>
      <c r="G38"/>
      <c r="H38" s="50" t="s">
        <v>194</v>
      </c>
    </row>
    <row r="39" spans="1:9" x14ac:dyDescent="0.5">
      <c r="A39" s="45">
        <v>7</v>
      </c>
      <c r="B39" s="46" t="s">
        <v>227</v>
      </c>
      <c r="C39" s="5" t="s">
        <v>226</v>
      </c>
      <c r="D39" s="8">
        <f>+DEGREES(ATAN(D33/D34))</f>
        <v>39.838498892049927</v>
      </c>
      <c r="I39" s="36"/>
    </row>
    <row r="40" spans="1:9" x14ac:dyDescent="0.5">
      <c r="A40" s="45">
        <v>8</v>
      </c>
      <c r="B40" s="46" t="s">
        <v>234</v>
      </c>
      <c r="C40" s="5" t="s">
        <v>231</v>
      </c>
      <c r="D40" s="8">
        <f>+(D39-D29)</f>
        <v>-10.191001373809698</v>
      </c>
      <c r="F40" s="45">
        <v>1</v>
      </c>
      <c r="G40" s="45" t="s">
        <v>195</v>
      </c>
      <c r="H40" s="10" t="s">
        <v>242</v>
      </c>
      <c r="I40">
        <f>I5-I16</f>
        <v>95.201342619782253</v>
      </c>
    </row>
    <row r="41" spans="1:9" x14ac:dyDescent="0.5">
      <c r="A41" s="45">
        <v>9</v>
      </c>
      <c r="B41" s="46" t="s">
        <v>234</v>
      </c>
      <c r="C41" s="5" t="s">
        <v>232</v>
      </c>
      <c r="D41" s="8">
        <f>+D40-D13</f>
        <v>-8.7581888738096971</v>
      </c>
      <c r="F41" s="45">
        <v>2</v>
      </c>
      <c r="G41" s="45" t="s">
        <v>196</v>
      </c>
      <c r="H41" s="10" t="s">
        <v>241</v>
      </c>
      <c r="I41">
        <f>DEGREES(ATAN(8.6/I40))</f>
        <v>5.1617959199732439</v>
      </c>
    </row>
    <row r="42" spans="1:9" x14ac:dyDescent="0.5">
      <c r="A42" s="45">
        <v>10</v>
      </c>
      <c r="B42" s="45" t="s">
        <v>235</v>
      </c>
      <c r="C42" s="43" t="s">
        <v>237</v>
      </c>
      <c r="D42" s="54">
        <f>+D41/0.10234375</f>
        <v>-85.576196629590939</v>
      </c>
      <c r="F42" s="45">
        <v>3</v>
      </c>
      <c r="G42" s="45" t="s">
        <v>197</v>
      </c>
      <c r="H42" s="43" t="s">
        <v>240</v>
      </c>
      <c r="I42" s="40">
        <f>+I41/0.10234375</f>
        <v>50.435868531036277</v>
      </c>
    </row>
    <row r="43" spans="1:9" x14ac:dyDescent="0.5">
      <c r="A43" s="45">
        <v>11</v>
      </c>
      <c r="B43" s="45" t="s">
        <v>111</v>
      </c>
      <c r="C43" s="36" t="s">
        <v>238</v>
      </c>
      <c r="D43" s="36">
        <f>+D9+D42</f>
        <v>154.42380337040908</v>
      </c>
      <c r="F43" s="45">
        <v>4</v>
      </c>
      <c r="G43" s="45" t="s">
        <v>110</v>
      </c>
      <c r="H43" s="36" t="s">
        <v>239</v>
      </c>
      <c r="I43" s="36">
        <f>+$I$9+I42</f>
        <v>370.43586853103625</v>
      </c>
    </row>
    <row r="45" spans="1:9" x14ac:dyDescent="0.5">
      <c r="C45" t="s">
        <v>245</v>
      </c>
    </row>
    <row r="46" spans="1:9" x14ac:dyDescent="0.5">
      <c r="C46" t="s">
        <v>246</v>
      </c>
    </row>
    <row r="47" spans="1:9" x14ac:dyDescent="0.5">
      <c r="C47" t="s">
        <v>258</v>
      </c>
    </row>
    <row r="48" spans="1:9" x14ac:dyDescent="0.5">
      <c r="C48" t="s">
        <v>247</v>
      </c>
    </row>
    <row r="50" spans="3:3" x14ac:dyDescent="0.5">
      <c r="C50" t="s">
        <v>260</v>
      </c>
    </row>
  </sheetData>
  <printOptions gridLines="1"/>
  <pageMargins left="0.24" right="0.36" top="1.04" bottom="0.42" header="0.3" footer="0.21"/>
  <pageSetup scale="59" orientation="portrait" r:id="rId1"/>
  <headerFooter>
    <oddHeader>&amp;C&amp;"-,Bold"&amp;24Auto Vision Calculations</oddHeader>
    <oddFooter>&amp;L&amp;F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Vision Angles</vt:lpstr>
      <vt:lpstr>Accel Angle</vt:lpstr>
      <vt:lpstr>Sheet2</vt:lpstr>
      <vt:lpstr>Offsets</vt:lpstr>
      <vt:lpstr>Vision</vt:lpstr>
      <vt:lpstr>Offsets (2)</vt:lpstr>
      <vt:lpstr>Test Stand</vt:lpstr>
      <vt:lpstr>Robot Shooting Angles Updated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den2</dc:creator>
  <cp:lastModifiedBy>den2</cp:lastModifiedBy>
  <cp:lastPrinted>2016-03-30T22:40:36Z</cp:lastPrinted>
  <dcterms:created xsi:type="dcterms:W3CDTF">2016-02-04T22:46:05Z</dcterms:created>
  <dcterms:modified xsi:type="dcterms:W3CDTF">2016-04-21T02:28:22Z</dcterms:modified>
</cp:coreProperties>
</file>